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6975" activeTab="0"/>
  </bookViews>
  <sheets>
    <sheet name="Total Subject Registrations" sheetId="1" r:id="rId1"/>
    <sheet name="Results May01" sheetId="2" r:id="rId2"/>
    <sheet name="Results May02" sheetId="3" r:id="rId3"/>
    <sheet name="Results May03" sheetId="4" r:id="rId4"/>
    <sheet name="Results May04" sheetId="5" r:id="rId5"/>
    <sheet name="Results May05" sheetId="6" r:id="rId6"/>
    <sheet name="Grade1-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<sst xmlns="http://schemas.openxmlformats.org/spreadsheetml/2006/main" count="192" uniqueCount="43">
  <si>
    <t>Subject</t>
  </si>
  <si>
    <t>Males</t>
  </si>
  <si>
    <t>Females</t>
  </si>
  <si>
    <t>Total</t>
  </si>
  <si>
    <t>Accounting</t>
  </si>
  <si>
    <t>Arabic</t>
  </si>
  <si>
    <t>Art</t>
  </si>
  <si>
    <t>Biology</t>
  </si>
  <si>
    <t>Business Studies</t>
  </si>
  <si>
    <t>Chemistry</t>
  </si>
  <si>
    <t>Classical Cult.&amp;Civil.</t>
  </si>
  <si>
    <t>Commerce</t>
  </si>
  <si>
    <t>Computer Studies</t>
  </si>
  <si>
    <t>Economics</t>
  </si>
  <si>
    <t>English Language</t>
  </si>
  <si>
    <t>English Literature</t>
  </si>
  <si>
    <t>Env.Studies</t>
  </si>
  <si>
    <t>European Studies</t>
  </si>
  <si>
    <t>French</t>
  </si>
  <si>
    <t>Geography</t>
  </si>
  <si>
    <t>German</t>
  </si>
  <si>
    <t>Technical Design/Graphical Comm.</t>
  </si>
  <si>
    <t>Greek</t>
  </si>
  <si>
    <t>History</t>
  </si>
  <si>
    <t>Home Economics</t>
  </si>
  <si>
    <t>Italian</t>
  </si>
  <si>
    <t>Latin</t>
  </si>
  <si>
    <t>Maltese</t>
  </si>
  <si>
    <t>Mathematics</t>
  </si>
  <si>
    <t>Physical Education</t>
  </si>
  <si>
    <t>Physics</t>
  </si>
  <si>
    <t>Rel.Knowledge</t>
  </si>
  <si>
    <t>Russian</t>
  </si>
  <si>
    <t>Social Studies</t>
  </si>
  <si>
    <t>Spanish</t>
  </si>
  <si>
    <t>Technology/Tech.Design A</t>
  </si>
  <si>
    <t>Textiles &amp; Design</t>
  </si>
  <si>
    <t>Tech.Design/Graphical Communication</t>
  </si>
  <si>
    <t>Technology/Technical Design A</t>
  </si>
  <si>
    <t>Overall Total</t>
  </si>
  <si>
    <t>Science Subjects Total</t>
  </si>
  <si>
    <t>Grades 1-5</t>
  </si>
  <si>
    <t>Registrations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</si>
</sst>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yyyy"/>
  </numFmts>
  <fonts count="47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i/>
      <sz val="12"/>
      <name val="Arial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53"/>
      <name val="Arial"/>
      <family val="0"/>
    </font>
    <font>
      <b/>
      <sz val="11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7" fontId="6" fillId="33" borderId="1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19" xfId="0" applyFont="1" applyFill="1" applyBorder="1" applyAlignment="1">
      <alignment/>
    </xf>
    <xf numFmtId="0" fontId="0" fillId="33" borderId="23" xfId="0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8" xfId="0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" fontId="6" fillId="33" borderId="23" xfId="0" applyNumberFormat="1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33" borderId="35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17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" fontId="1" fillId="0" borderId="41" xfId="0" applyNumberFormat="1" applyFont="1" applyBorder="1" applyAlignment="1">
      <alignment horizontal="center"/>
    </xf>
    <xf numFmtId="17" fontId="1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quality.gov.mt/Documents%20and%20Settings\John\Desktop\Statistics\MATSEC\SEC%20Examin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Subject Registrations"/>
      <sheetName val="Science Subject Registration"/>
      <sheetName val="Results May01"/>
      <sheetName val="Results May02"/>
      <sheetName val="Results May03"/>
      <sheetName val="Results May04"/>
      <sheetName val="Results May05"/>
      <sheetName val="Grade1-5"/>
      <sheetName val="Percentage Passed TO Applied"/>
      <sheetName val="PassedvsFailed in Science"/>
    </sheetNames>
    <sheetDataSet>
      <sheetData sheetId="2">
        <row r="4">
          <cell r="G4">
            <v>269</v>
          </cell>
        </row>
        <row r="5">
          <cell r="G5">
            <v>358</v>
          </cell>
        </row>
        <row r="7">
          <cell r="G7">
            <v>279</v>
          </cell>
        </row>
        <row r="8">
          <cell r="G8">
            <v>289</v>
          </cell>
        </row>
        <row r="10">
          <cell r="G10">
            <v>659</v>
          </cell>
        </row>
        <row r="11">
          <cell r="G11">
            <v>456</v>
          </cell>
        </row>
        <row r="13">
          <cell r="G13">
            <v>261</v>
          </cell>
        </row>
        <row r="14">
          <cell r="G14">
            <v>30</v>
          </cell>
        </row>
        <row r="16">
          <cell r="G16">
            <v>1192</v>
          </cell>
        </row>
        <row r="17">
          <cell r="G17">
            <v>1291</v>
          </cell>
        </row>
        <row r="19">
          <cell r="G19">
            <v>1194</v>
          </cell>
        </row>
        <row r="20">
          <cell r="G20">
            <v>1323</v>
          </cell>
        </row>
        <row r="22">
          <cell r="G22">
            <v>3</v>
          </cell>
        </row>
        <row r="23">
          <cell r="G23">
            <v>0</v>
          </cell>
        </row>
      </sheetData>
      <sheetData sheetId="3">
        <row r="4">
          <cell r="G4">
            <v>267</v>
          </cell>
        </row>
        <row r="5">
          <cell r="G5">
            <v>501</v>
          </cell>
        </row>
        <row r="7">
          <cell r="G7">
            <v>305</v>
          </cell>
        </row>
        <row r="8">
          <cell r="G8">
            <v>297</v>
          </cell>
        </row>
        <row r="10">
          <cell r="G10">
            <v>779</v>
          </cell>
        </row>
        <row r="11">
          <cell r="G11">
            <v>668</v>
          </cell>
        </row>
        <row r="13">
          <cell r="G13">
            <v>380</v>
          </cell>
        </row>
        <row r="14">
          <cell r="G14">
            <v>53</v>
          </cell>
        </row>
        <row r="16">
          <cell r="G16">
            <v>1317</v>
          </cell>
        </row>
        <row r="17">
          <cell r="G17">
            <v>1482</v>
          </cell>
        </row>
        <row r="19">
          <cell r="G19">
            <v>1244</v>
          </cell>
        </row>
        <row r="20">
          <cell r="G20">
            <v>1226</v>
          </cell>
        </row>
        <row r="22">
          <cell r="G22">
            <v>3</v>
          </cell>
        </row>
        <row r="23">
          <cell r="G23">
            <v>0</v>
          </cell>
        </row>
      </sheetData>
      <sheetData sheetId="4">
        <row r="4">
          <cell r="G4">
            <v>297</v>
          </cell>
        </row>
        <row r="5">
          <cell r="G5">
            <v>575</v>
          </cell>
        </row>
        <row r="7">
          <cell r="G7">
            <v>288</v>
          </cell>
        </row>
        <row r="8">
          <cell r="G8">
            <v>330</v>
          </cell>
        </row>
        <row r="10">
          <cell r="G10">
            <v>756</v>
          </cell>
        </row>
        <row r="11">
          <cell r="G11">
            <v>511</v>
          </cell>
        </row>
        <row r="13">
          <cell r="G13">
            <v>313</v>
          </cell>
        </row>
        <row r="14">
          <cell r="G14">
            <v>50</v>
          </cell>
        </row>
        <row r="16">
          <cell r="G16">
            <v>1449</v>
          </cell>
        </row>
        <row r="17">
          <cell r="G17">
            <v>1703</v>
          </cell>
        </row>
        <row r="19">
          <cell r="G19">
            <v>1354</v>
          </cell>
        </row>
        <row r="20">
          <cell r="G20">
            <v>1429</v>
          </cell>
        </row>
        <row r="22">
          <cell r="G22">
            <v>5</v>
          </cell>
        </row>
        <row r="23">
          <cell r="G23">
            <v>0</v>
          </cell>
        </row>
      </sheetData>
      <sheetData sheetId="5">
        <row r="4">
          <cell r="G4">
            <v>291</v>
          </cell>
        </row>
        <row r="5">
          <cell r="G5">
            <v>553</v>
          </cell>
        </row>
        <row r="7">
          <cell r="G7">
            <v>252</v>
          </cell>
        </row>
        <row r="8">
          <cell r="G8">
            <v>336</v>
          </cell>
        </row>
        <row r="10">
          <cell r="G10">
            <v>896</v>
          </cell>
        </row>
        <row r="11">
          <cell r="G11">
            <v>591</v>
          </cell>
        </row>
        <row r="13">
          <cell r="G13">
            <v>287</v>
          </cell>
        </row>
        <row r="14">
          <cell r="G14">
            <v>55</v>
          </cell>
        </row>
        <row r="16">
          <cell r="G16">
            <v>1332</v>
          </cell>
        </row>
        <row r="17">
          <cell r="G17">
            <v>1558</v>
          </cell>
        </row>
        <row r="19">
          <cell r="G19">
            <v>1425</v>
          </cell>
        </row>
        <row r="20">
          <cell r="G20">
            <v>1443</v>
          </cell>
        </row>
        <row r="22">
          <cell r="G22">
            <v>0</v>
          </cell>
        </row>
        <row r="23">
          <cell r="G23">
            <v>0</v>
          </cell>
        </row>
      </sheetData>
      <sheetData sheetId="6">
        <row r="4">
          <cell r="G4">
            <v>331</v>
          </cell>
        </row>
        <row r="5">
          <cell r="G5">
            <v>647</v>
          </cell>
        </row>
        <row r="7">
          <cell r="G7">
            <v>315</v>
          </cell>
        </row>
        <row r="8">
          <cell r="G8">
            <v>350</v>
          </cell>
        </row>
        <row r="10">
          <cell r="G10">
            <v>790</v>
          </cell>
        </row>
        <row r="11">
          <cell r="G11">
            <v>443</v>
          </cell>
        </row>
        <row r="13">
          <cell r="G13">
            <v>356</v>
          </cell>
        </row>
        <row r="14">
          <cell r="G14">
            <v>44</v>
          </cell>
        </row>
        <row r="16">
          <cell r="G16">
            <v>1443</v>
          </cell>
        </row>
        <row r="17">
          <cell r="G17">
            <v>1599</v>
          </cell>
        </row>
        <row r="19">
          <cell r="G19">
            <v>1391</v>
          </cell>
        </row>
        <row r="20">
          <cell r="G20">
            <v>1420</v>
          </cell>
        </row>
        <row r="22">
          <cell r="G22">
            <v>1</v>
          </cell>
        </row>
        <row r="23">
          <cell r="G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0.57421875" style="0" customWidth="1"/>
    <col min="2" max="3" width="9.140625" style="31" customWidth="1"/>
    <col min="4" max="4" width="9.140625" style="32" customWidth="1"/>
    <col min="5" max="6" width="9.140625" style="31" customWidth="1"/>
    <col min="7" max="7" width="9.140625" style="32" customWidth="1"/>
    <col min="8" max="9" width="9.140625" style="31" customWidth="1"/>
    <col min="10" max="10" width="9.140625" style="32" customWidth="1"/>
    <col min="11" max="12" width="9.140625" style="31" customWidth="1"/>
    <col min="13" max="13" width="9.140625" style="32" customWidth="1"/>
    <col min="14" max="15" width="9.140625" style="31" customWidth="1"/>
    <col min="16" max="16" width="9.140625" style="32" customWidth="1"/>
  </cols>
  <sheetData>
    <row r="1" spans="1:16" s="1" customFormat="1" ht="15">
      <c r="A1" s="92" t="s">
        <v>42</v>
      </c>
      <c r="B1" s="102">
        <v>37012</v>
      </c>
      <c r="C1" s="103"/>
      <c r="D1" s="104"/>
      <c r="E1" s="102">
        <v>37377</v>
      </c>
      <c r="F1" s="103"/>
      <c r="G1" s="104"/>
      <c r="H1" s="102">
        <v>37742</v>
      </c>
      <c r="I1" s="103"/>
      <c r="J1" s="104"/>
      <c r="K1" s="102">
        <v>38108</v>
      </c>
      <c r="L1" s="103"/>
      <c r="M1" s="104"/>
      <c r="N1" s="102">
        <v>38473</v>
      </c>
      <c r="O1" s="103"/>
      <c r="P1" s="104"/>
    </row>
    <row r="2" spans="1:16" s="2" customFormat="1" ht="13.5" thickBot="1">
      <c r="A2" s="93" t="s">
        <v>0</v>
      </c>
      <c r="B2" s="10" t="s">
        <v>1</v>
      </c>
      <c r="C2" s="11" t="s">
        <v>2</v>
      </c>
      <c r="D2" s="12" t="s">
        <v>3</v>
      </c>
      <c r="E2" s="13" t="s">
        <v>1</v>
      </c>
      <c r="F2" s="11" t="s">
        <v>2</v>
      </c>
      <c r="G2" s="14" t="s">
        <v>3</v>
      </c>
      <c r="H2" s="10" t="s">
        <v>1</v>
      </c>
      <c r="I2" s="11" t="s">
        <v>2</v>
      </c>
      <c r="J2" s="12" t="s">
        <v>3</v>
      </c>
      <c r="K2" s="13" t="s">
        <v>1</v>
      </c>
      <c r="L2" s="11" t="s">
        <v>2</v>
      </c>
      <c r="M2" s="14" t="s">
        <v>3</v>
      </c>
      <c r="N2" s="10" t="s">
        <v>1</v>
      </c>
      <c r="O2" s="11" t="s">
        <v>2</v>
      </c>
      <c r="P2" s="14" t="s">
        <v>3</v>
      </c>
    </row>
    <row r="3" spans="1:16" ht="13.5" thickTop="1">
      <c r="A3" s="9" t="s">
        <v>4</v>
      </c>
      <c r="B3" s="16">
        <v>593</v>
      </c>
      <c r="C3" s="17">
        <v>734</v>
      </c>
      <c r="D3" s="18">
        <f aca="true" t="shared" si="0" ref="D3:D36">B3+C3</f>
        <v>1327</v>
      </c>
      <c r="E3" s="19">
        <v>592</v>
      </c>
      <c r="F3" s="17">
        <v>845</v>
      </c>
      <c r="G3" s="20">
        <f aca="true" t="shared" si="1" ref="G3:G36">E3+F3</f>
        <v>1437</v>
      </c>
      <c r="H3" s="16">
        <v>582</v>
      </c>
      <c r="I3" s="17">
        <v>766</v>
      </c>
      <c r="J3" s="18">
        <f aca="true" t="shared" si="2" ref="J3:J36">H3+I3</f>
        <v>1348</v>
      </c>
      <c r="K3" s="19">
        <v>585</v>
      </c>
      <c r="L3" s="17">
        <v>750</v>
      </c>
      <c r="M3" s="20">
        <f aca="true" t="shared" si="3" ref="M3:M36">K3+L3</f>
        <v>1335</v>
      </c>
      <c r="N3" s="16">
        <v>508</v>
      </c>
      <c r="O3" s="17">
        <v>701</v>
      </c>
      <c r="P3" s="20">
        <f aca="true" t="shared" si="4" ref="P3:P36">N3+O3</f>
        <v>1209</v>
      </c>
    </row>
    <row r="4" spans="1:16" ht="12.75">
      <c r="A4" s="7" t="s">
        <v>5</v>
      </c>
      <c r="B4" s="22">
        <v>2</v>
      </c>
      <c r="C4" s="23">
        <v>4</v>
      </c>
      <c r="D4" s="24">
        <f t="shared" si="0"/>
        <v>6</v>
      </c>
      <c r="E4" s="25">
        <v>2</v>
      </c>
      <c r="F4" s="23">
        <v>8</v>
      </c>
      <c r="G4" s="26">
        <f t="shared" si="1"/>
        <v>10</v>
      </c>
      <c r="H4" s="22">
        <v>5</v>
      </c>
      <c r="I4" s="23">
        <v>5</v>
      </c>
      <c r="J4" s="24">
        <f t="shared" si="2"/>
        <v>10</v>
      </c>
      <c r="K4" s="25">
        <v>1</v>
      </c>
      <c r="L4" s="23">
        <v>8</v>
      </c>
      <c r="M4" s="26">
        <f t="shared" si="3"/>
        <v>9</v>
      </c>
      <c r="N4" s="22">
        <v>4</v>
      </c>
      <c r="O4" s="23">
        <v>6</v>
      </c>
      <c r="P4" s="26">
        <f t="shared" si="4"/>
        <v>10</v>
      </c>
    </row>
    <row r="5" spans="1:16" ht="12.75">
      <c r="A5" s="7" t="s">
        <v>6</v>
      </c>
      <c r="B5" s="22">
        <v>379</v>
      </c>
      <c r="C5" s="23">
        <v>361</v>
      </c>
      <c r="D5" s="24">
        <f t="shared" si="0"/>
        <v>740</v>
      </c>
      <c r="E5" s="25">
        <v>398</v>
      </c>
      <c r="F5" s="23">
        <v>353</v>
      </c>
      <c r="G5" s="26">
        <f t="shared" si="1"/>
        <v>751</v>
      </c>
      <c r="H5" s="22">
        <v>356</v>
      </c>
      <c r="I5" s="23">
        <v>412</v>
      </c>
      <c r="J5" s="24">
        <f t="shared" si="2"/>
        <v>768</v>
      </c>
      <c r="K5" s="25">
        <v>332</v>
      </c>
      <c r="L5" s="23">
        <v>405</v>
      </c>
      <c r="M5" s="26">
        <f t="shared" si="3"/>
        <v>737</v>
      </c>
      <c r="N5" s="22">
        <v>356</v>
      </c>
      <c r="O5" s="23">
        <v>448</v>
      </c>
      <c r="P5" s="26">
        <f t="shared" si="4"/>
        <v>804</v>
      </c>
    </row>
    <row r="6" spans="1:16" s="4" customFormat="1" ht="12.75">
      <c r="A6" s="8" t="s">
        <v>7</v>
      </c>
      <c r="B6" s="28">
        <v>377</v>
      </c>
      <c r="C6" s="29">
        <v>731</v>
      </c>
      <c r="D6" s="36">
        <f t="shared" si="0"/>
        <v>1108</v>
      </c>
      <c r="E6" s="30">
        <v>430</v>
      </c>
      <c r="F6" s="29">
        <v>816</v>
      </c>
      <c r="G6" s="37">
        <f t="shared" si="1"/>
        <v>1246</v>
      </c>
      <c r="H6" s="28">
        <v>421</v>
      </c>
      <c r="I6" s="29">
        <v>950</v>
      </c>
      <c r="J6" s="36">
        <f t="shared" si="2"/>
        <v>1371</v>
      </c>
      <c r="K6" s="30">
        <v>422</v>
      </c>
      <c r="L6" s="29">
        <v>998</v>
      </c>
      <c r="M6" s="37">
        <f t="shared" si="3"/>
        <v>1420</v>
      </c>
      <c r="N6" s="28">
        <v>514</v>
      </c>
      <c r="O6" s="29">
        <v>1091</v>
      </c>
      <c r="P6" s="37">
        <f t="shared" si="4"/>
        <v>1605</v>
      </c>
    </row>
    <row r="7" spans="1:16" ht="12.75">
      <c r="A7" s="7" t="s">
        <v>8</v>
      </c>
      <c r="B7" s="22">
        <v>253</v>
      </c>
      <c r="C7" s="23">
        <v>535</v>
      </c>
      <c r="D7" s="24">
        <f t="shared" si="0"/>
        <v>788</v>
      </c>
      <c r="E7" s="25">
        <v>318</v>
      </c>
      <c r="F7" s="23">
        <v>489</v>
      </c>
      <c r="G7" s="26">
        <f t="shared" si="1"/>
        <v>807</v>
      </c>
      <c r="H7" s="22">
        <v>304</v>
      </c>
      <c r="I7" s="23">
        <v>527</v>
      </c>
      <c r="J7" s="24">
        <f t="shared" si="2"/>
        <v>831</v>
      </c>
      <c r="K7" s="25">
        <v>282</v>
      </c>
      <c r="L7" s="23">
        <v>483</v>
      </c>
      <c r="M7" s="26">
        <f t="shared" si="3"/>
        <v>765</v>
      </c>
      <c r="N7" s="22">
        <v>316</v>
      </c>
      <c r="O7" s="23">
        <v>484</v>
      </c>
      <c r="P7" s="26">
        <f t="shared" si="4"/>
        <v>800</v>
      </c>
    </row>
    <row r="8" spans="1:16" s="4" customFormat="1" ht="12.75">
      <c r="A8" s="8" t="s">
        <v>9</v>
      </c>
      <c r="B8" s="28">
        <v>389</v>
      </c>
      <c r="C8" s="29">
        <v>358</v>
      </c>
      <c r="D8" s="36">
        <f t="shared" si="0"/>
        <v>747</v>
      </c>
      <c r="E8" s="30">
        <v>515</v>
      </c>
      <c r="F8" s="29">
        <v>386</v>
      </c>
      <c r="G8" s="37">
        <f t="shared" si="1"/>
        <v>901</v>
      </c>
      <c r="H8" s="28">
        <v>453</v>
      </c>
      <c r="I8" s="29">
        <v>458</v>
      </c>
      <c r="J8" s="36">
        <f t="shared" si="2"/>
        <v>911</v>
      </c>
      <c r="K8" s="30">
        <v>375</v>
      </c>
      <c r="L8" s="29">
        <v>455</v>
      </c>
      <c r="M8" s="37">
        <f t="shared" si="3"/>
        <v>830</v>
      </c>
      <c r="N8" s="28">
        <v>431</v>
      </c>
      <c r="O8" s="29">
        <v>433</v>
      </c>
      <c r="P8" s="37">
        <f t="shared" si="4"/>
        <v>864</v>
      </c>
    </row>
    <row r="9" spans="1:16" ht="12.75">
      <c r="A9" s="7" t="s">
        <v>10</v>
      </c>
      <c r="B9" s="22">
        <v>1</v>
      </c>
      <c r="C9" s="23">
        <v>0</v>
      </c>
      <c r="D9" s="24">
        <f t="shared" si="0"/>
        <v>1</v>
      </c>
      <c r="E9" s="25">
        <v>2</v>
      </c>
      <c r="F9" s="23">
        <v>0</v>
      </c>
      <c r="G9" s="26">
        <f t="shared" si="1"/>
        <v>2</v>
      </c>
      <c r="H9" s="22">
        <v>0</v>
      </c>
      <c r="I9" s="23">
        <v>0</v>
      </c>
      <c r="J9" s="24">
        <f t="shared" si="2"/>
        <v>0</v>
      </c>
      <c r="K9" s="25">
        <v>2</v>
      </c>
      <c r="L9" s="23">
        <v>0</v>
      </c>
      <c r="M9" s="26">
        <f t="shared" si="3"/>
        <v>2</v>
      </c>
      <c r="N9" s="22">
        <v>1</v>
      </c>
      <c r="O9" s="23">
        <v>0</v>
      </c>
      <c r="P9" s="26">
        <f t="shared" si="4"/>
        <v>1</v>
      </c>
    </row>
    <row r="10" spans="1:16" ht="12.75">
      <c r="A10" s="7" t="s">
        <v>11</v>
      </c>
      <c r="B10" s="22">
        <v>36</v>
      </c>
      <c r="C10" s="23">
        <v>13</v>
      </c>
      <c r="D10" s="24">
        <f t="shared" si="0"/>
        <v>49</v>
      </c>
      <c r="E10" s="25">
        <v>37</v>
      </c>
      <c r="F10" s="23">
        <v>18</v>
      </c>
      <c r="G10" s="26">
        <f t="shared" si="1"/>
        <v>55</v>
      </c>
      <c r="H10" s="22">
        <v>47</v>
      </c>
      <c r="I10" s="23">
        <v>4</v>
      </c>
      <c r="J10" s="24">
        <f t="shared" si="2"/>
        <v>51</v>
      </c>
      <c r="K10" s="25">
        <v>32</v>
      </c>
      <c r="L10" s="23">
        <v>2</v>
      </c>
      <c r="M10" s="26">
        <f t="shared" si="3"/>
        <v>34</v>
      </c>
      <c r="N10" s="22">
        <v>23</v>
      </c>
      <c r="O10" s="23">
        <v>4</v>
      </c>
      <c r="P10" s="26">
        <f t="shared" si="4"/>
        <v>27</v>
      </c>
    </row>
    <row r="11" spans="1:16" s="4" customFormat="1" ht="12.75">
      <c r="A11" s="8" t="s">
        <v>12</v>
      </c>
      <c r="B11" s="28">
        <v>1033</v>
      </c>
      <c r="C11" s="29">
        <v>806</v>
      </c>
      <c r="D11" s="36">
        <f t="shared" si="0"/>
        <v>1839</v>
      </c>
      <c r="E11" s="30">
        <v>1014</v>
      </c>
      <c r="F11" s="29">
        <v>818</v>
      </c>
      <c r="G11" s="37">
        <f t="shared" si="1"/>
        <v>1832</v>
      </c>
      <c r="H11" s="28">
        <v>1066</v>
      </c>
      <c r="I11" s="29">
        <v>731</v>
      </c>
      <c r="J11" s="36">
        <f t="shared" si="2"/>
        <v>1797</v>
      </c>
      <c r="K11" s="30">
        <v>1240</v>
      </c>
      <c r="L11" s="29">
        <v>745</v>
      </c>
      <c r="M11" s="37">
        <f t="shared" si="3"/>
        <v>1985</v>
      </c>
      <c r="N11" s="28">
        <v>1081</v>
      </c>
      <c r="O11" s="29">
        <v>593</v>
      </c>
      <c r="P11" s="37">
        <f t="shared" si="4"/>
        <v>1674</v>
      </c>
    </row>
    <row r="12" spans="1:16" ht="12.75">
      <c r="A12" s="7" t="s">
        <v>13</v>
      </c>
      <c r="B12" s="22">
        <v>322</v>
      </c>
      <c r="C12" s="23">
        <v>187</v>
      </c>
      <c r="D12" s="24">
        <f t="shared" si="0"/>
        <v>509</v>
      </c>
      <c r="E12" s="25">
        <v>316</v>
      </c>
      <c r="F12" s="23">
        <v>212</v>
      </c>
      <c r="G12" s="26">
        <f t="shared" si="1"/>
        <v>528</v>
      </c>
      <c r="H12" s="22">
        <v>317</v>
      </c>
      <c r="I12" s="23">
        <v>226</v>
      </c>
      <c r="J12" s="24">
        <f t="shared" si="2"/>
        <v>543</v>
      </c>
      <c r="K12" s="25">
        <v>325</v>
      </c>
      <c r="L12" s="23">
        <v>215</v>
      </c>
      <c r="M12" s="26">
        <f t="shared" si="3"/>
        <v>540</v>
      </c>
      <c r="N12" s="22">
        <v>239</v>
      </c>
      <c r="O12" s="23">
        <v>194</v>
      </c>
      <c r="P12" s="26">
        <f t="shared" si="4"/>
        <v>433</v>
      </c>
    </row>
    <row r="13" spans="1:16" ht="12.75">
      <c r="A13" s="7" t="s">
        <v>14</v>
      </c>
      <c r="B13" s="22">
        <v>2800</v>
      </c>
      <c r="C13" s="23">
        <v>3196</v>
      </c>
      <c r="D13" s="24">
        <f t="shared" si="0"/>
        <v>5996</v>
      </c>
      <c r="E13" s="25">
        <v>2932</v>
      </c>
      <c r="F13" s="23">
        <v>3218</v>
      </c>
      <c r="G13" s="26">
        <f t="shared" si="1"/>
        <v>6150</v>
      </c>
      <c r="H13" s="22">
        <v>2612</v>
      </c>
      <c r="I13" s="23">
        <v>3011</v>
      </c>
      <c r="J13" s="24">
        <f t="shared" si="2"/>
        <v>5623</v>
      </c>
      <c r="K13" s="25">
        <v>2746</v>
      </c>
      <c r="L13" s="23">
        <v>3195</v>
      </c>
      <c r="M13" s="26">
        <f t="shared" si="3"/>
        <v>5941</v>
      </c>
      <c r="N13" s="22">
        <v>2893</v>
      </c>
      <c r="O13" s="23">
        <v>3336</v>
      </c>
      <c r="P13" s="26">
        <f t="shared" si="4"/>
        <v>6229</v>
      </c>
    </row>
    <row r="14" spans="1:16" ht="12.75">
      <c r="A14" s="7" t="s">
        <v>15</v>
      </c>
      <c r="B14" s="22">
        <v>889</v>
      </c>
      <c r="C14" s="23">
        <v>1357</v>
      </c>
      <c r="D14" s="24">
        <f t="shared" si="0"/>
        <v>2246</v>
      </c>
      <c r="E14" s="25">
        <v>1020</v>
      </c>
      <c r="F14" s="23">
        <v>1275</v>
      </c>
      <c r="G14" s="26">
        <f t="shared" si="1"/>
        <v>2295</v>
      </c>
      <c r="H14" s="22">
        <v>982</v>
      </c>
      <c r="I14" s="23">
        <v>1541</v>
      </c>
      <c r="J14" s="24">
        <f t="shared" si="2"/>
        <v>2523</v>
      </c>
      <c r="K14" s="25">
        <v>1137</v>
      </c>
      <c r="L14" s="23">
        <v>1637</v>
      </c>
      <c r="M14" s="26">
        <f t="shared" si="3"/>
        <v>2774</v>
      </c>
      <c r="N14" s="22">
        <v>1210</v>
      </c>
      <c r="O14" s="23">
        <v>1651</v>
      </c>
      <c r="P14" s="26">
        <f t="shared" si="4"/>
        <v>2861</v>
      </c>
    </row>
    <row r="15" spans="1:16" ht="12.75">
      <c r="A15" s="7" t="s">
        <v>16</v>
      </c>
      <c r="B15" s="22">
        <v>894</v>
      </c>
      <c r="C15" s="23">
        <v>1039</v>
      </c>
      <c r="D15" s="24">
        <f t="shared" si="0"/>
        <v>1933</v>
      </c>
      <c r="E15" s="25">
        <v>1063</v>
      </c>
      <c r="F15" s="23">
        <v>1121</v>
      </c>
      <c r="G15" s="26">
        <f t="shared" si="1"/>
        <v>2184</v>
      </c>
      <c r="H15" s="22">
        <v>1079</v>
      </c>
      <c r="I15" s="23">
        <v>1234</v>
      </c>
      <c r="J15" s="24">
        <f t="shared" si="2"/>
        <v>2313</v>
      </c>
      <c r="K15" s="25">
        <v>1094</v>
      </c>
      <c r="L15" s="23">
        <v>1357</v>
      </c>
      <c r="M15" s="26">
        <f t="shared" si="3"/>
        <v>2451</v>
      </c>
      <c r="N15" s="22">
        <v>1195</v>
      </c>
      <c r="O15" s="23">
        <v>1349</v>
      </c>
      <c r="P15" s="26">
        <f t="shared" si="4"/>
        <v>2544</v>
      </c>
    </row>
    <row r="16" spans="1:16" ht="12.75">
      <c r="A16" s="7" t="s">
        <v>17</v>
      </c>
      <c r="B16" s="22">
        <v>0</v>
      </c>
      <c r="C16" s="23">
        <v>0</v>
      </c>
      <c r="D16" s="24">
        <f t="shared" si="0"/>
        <v>0</v>
      </c>
      <c r="E16" s="25">
        <v>0</v>
      </c>
      <c r="F16" s="23">
        <v>0</v>
      </c>
      <c r="G16" s="26">
        <f t="shared" si="1"/>
        <v>0</v>
      </c>
      <c r="H16" s="22">
        <v>25</v>
      </c>
      <c r="I16" s="23">
        <v>105</v>
      </c>
      <c r="J16" s="24">
        <f t="shared" si="2"/>
        <v>130</v>
      </c>
      <c r="K16" s="25">
        <v>34</v>
      </c>
      <c r="L16" s="23">
        <v>76</v>
      </c>
      <c r="M16" s="26">
        <f t="shared" si="3"/>
        <v>110</v>
      </c>
      <c r="N16" s="22">
        <v>34</v>
      </c>
      <c r="O16" s="23">
        <v>50</v>
      </c>
      <c r="P16" s="26">
        <f t="shared" si="4"/>
        <v>84</v>
      </c>
    </row>
    <row r="17" spans="1:16" ht="12.75">
      <c r="A17" s="7" t="s">
        <v>18</v>
      </c>
      <c r="B17" s="22">
        <v>787</v>
      </c>
      <c r="C17" s="23">
        <v>1385</v>
      </c>
      <c r="D17" s="24">
        <f t="shared" si="0"/>
        <v>2172</v>
      </c>
      <c r="E17" s="25">
        <v>840</v>
      </c>
      <c r="F17" s="23">
        <v>1339</v>
      </c>
      <c r="G17" s="26">
        <f t="shared" si="1"/>
        <v>2179</v>
      </c>
      <c r="H17" s="22">
        <v>771</v>
      </c>
      <c r="I17" s="23">
        <v>1441</v>
      </c>
      <c r="J17" s="24">
        <f t="shared" si="2"/>
        <v>2212</v>
      </c>
      <c r="K17" s="25">
        <v>763</v>
      </c>
      <c r="L17" s="23">
        <v>1475</v>
      </c>
      <c r="M17" s="26">
        <f t="shared" si="3"/>
        <v>2238</v>
      </c>
      <c r="N17" s="22">
        <v>829</v>
      </c>
      <c r="O17" s="23">
        <v>1410</v>
      </c>
      <c r="P17" s="26">
        <f t="shared" si="4"/>
        <v>2239</v>
      </c>
    </row>
    <row r="18" spans="1:16" ht="12.75">
      <c r="A18" s="7" t="s">
        <v>19</v>
      </c>
      <c r="B18" s="22">
        <v>147</v>
      </c>
      <c r="C18" s="23">
        <v>81</v>
      </c>
      <c r="D18" s="24">
        <f t="shared" si="0"/>
        <v>228</v>
      </c>
      <c r="E18" s="25">
        <v>160</v>
      </c>
      <c r="F18" s="23">
        <v>125</v>
      </c>
      <c r="G18" s="26">
        <f t="shared" si="1"/>
        <v>285</v>
      </c>
      <c r="H18" s="22">
        <v>181</v>
      </c>
      <c r="I18" s="23">
        <v>101</v>
      </c>
      <c r="J18" s="24">
        <f t="shared" si="2"/>
        <v>282</v>
      </c>
      <c r="K18" s="25">
        <v>92</v>
      </c>
      <c r="L18" s="23">
        <v>94</v>
      </c>
      <c r="M18" s="26">
        <f t="shared" si="3"/>
        <v>186</v>
      </c>
      <c r="N18" s="22">
        <v>126</v>
      </c>
      <c r="O18" s="23">
        <v>75</v>
      </c>
      <c r="P18" s="26">
        <f t="shared" si="4"/>
        <v>201</v>
      </c>
    </row>
    <row r="19" spans="1:16" ht="12.75">
      <c r="A19" s="7" t="s">
        <v>20</v>
      </c>
      <c r="B19" s="22">
        <v>108</v>
      </c>
      <c r="C19" s="23">
        <v>219</v>
      </c>
      <c r="D19" s="24">
        <f t="shared" si="0"/>
        <v>327</v>
      </c>
      <c r="E19" s="25">
        <v>210</v>
      </c>
      <c r="F19" s="23">
        <v>246</v>
      </c>
      <c r="G19" s="26">
        <f t="shared" si="1"/>
        <v>456</v>
      </c>
      <c r="H19" s="22">
        <v>157</v>
      </c>
      <c r="I19" s="23">
        <v>261</v>
      </c>
      <c r="J19" s="24">
        <f t="shared" si="2"/>
        <v>418</v>
      </c>
      <c r="K19" s="25">
        <v>166</v>
      </c>
      <c r="L19" s="23">
        <v>257</v>
      </c>
      <c r="M19" s="26">
        <f t="shared" si="3"/>
        <v>423</v>
      </c>
      <c r="N19" s="22">
        <v>177</v>
      </c>
      <c r="O19" s="23">
        <v>308</v>
      </c>
      <c r="P19" s="26">
        <f t="shared" si="4"/>
        <v>485</v>
      </c>
    </row>
    <row r="20" spans="1:16" s="4" customFormat="1" ht="12.75">
      <c r="A20" s="8" t="s">
        <v>21</v>
      </c>
      <c r="B20" s="28">
        <v>732</v>
      </c>
      <c r="C20" s="29">
        <v>96</v>
      </c>
      <c r="D20" s="36">
        <f t="shared" si="0"/>
        <v>828</v>
      </c>
      <c r="E20" s="30">
        <v>775</v>
      </c>
      <c r="F20" s="29">
        <v>104</v>
      </c>
      <c r="G20" s="37">
        <f t="shared" si="1"/>
        <v>879</v>
      </c>
      <c r="H20" s="28">
        <v>737</v>
      </c>
      <c r="I20" s="29">
        <v>107</v>
      </c>
      <c r="J20" s="36">
        <f t="shared" si="2"/>
        <v>844</v>
      </c>
      <c r="K20" s="30">
        <v>653</v>
      </c>
      <c r="L20" s="29">
        <v>91</v>
      </c>
      <c r="M20" s="37">
        <f t="shared" si="3"/>
        <v>744</v>
      </c>
      <c r="N20" s="28">
        <v>636</v>
      </c>
      <c r="O20" s="29">
        <v>85</v>
      </c>
      <c r="P20" s="37">
        <f t="shared" si="4"/>
        <v>721</v>
      </c>
    </row>
    <row r="21" spans="1:16" ht="12.75">
      <c r="A21" s="7" t="s">
        <v>22</v>
      </c>
      <c r="B21" s="22">
        <v>0</v>
      </c>
      <c r="C21" s="23">
        <v>0</v>
      </c>
      <c r="D21" s="24">
        <f t="shared" si="0"/>
        <v>0</v>
      </c>
      <c r="E21" s="25">
        <v>0</v>
      </c>
      <c r="F21" s="23">
        <v>0</v>
      </c>
      <c r="G21" s="26">
        <f t="shared" si="1"/>
        <v>0</v>
      </c>
      <c r="H21" s="22">
        <v>0</v>
      </c>
      <c r="I21" s="23">
        <v>0</v>
      </c>
      <c r="J21" s="24">
        <f t="shared" si="2"/>
        <v>0</v>
      </c>
      <c r="K21" s="25">
        <v>0</v>
      </c>
      <c r="L21" s="23">
        <v>0</v>
      </c>
      <c r="M21" s="26">
        <f t="shared" si="3"/>
        <v>0</v>
      </c>
      <c r="N21" s="22">
        <v>0</v>
      </c>
      <c r="O21" s="23">
        <v>0</v>
      </c>
      <c r="P21" s="26">
        <f t="shared" si="4"/>
        <v>0</v>
      </c>
    </row>
    <row r="22" spans="1:16" ht="12.75">
      <c r="A22" s="7" t="s">
        <v>23</v>
      </c>
      <c r="B22" s="22">
        <v>209</v>
      </c>
      <c r="C22" s="23">
        <v>90</v>
      </c>
      <c r="D22" s="24">
        <f t="shared" si="0"/>
        <v>299</v>
      </c>
      <c r="E22" s="25">
        <v>164</v>
      </c>
      <c r="F22" s="23">
        <v>84</v>
      </c>
      <c r="G22" s="26">
        <f t="shared" si="1"/>
        <v>248</v>
      </c>
      <c r="H22" s="22">
        <v>168</v>
      </c>
      <c r="I22" s="23">
        <v>71</v>
      </c>
      <c r="J22" s="24">
        <f t="shared" si="2"/>
        <v>239</v>
      </c>
      <c r="K22" s="25">
        <v>144</v>
      </c>
      <c r="L22" s="23">
        <v>82</v>
      </c>
      <c r="M22" s="26">
        <f t="shared" si="3"/>
        <v>226</v>
      </c>
      <c r="N22" s="22">
        <v>133</v>
      </c>
      <c r="O22" s="23">
        <v>97</v>
      </c>
      <c r="P22" s="26">
        <f t="shared" si="4"/>
        <v>230</v>
      </c>
    </row>
    <row r="23" spans="1:16" ht="12.75">
      <c r="A23" s="7" t="s">
        <v>24</v>
      </c>
      <c r="B23" s="22">
        <v>106</v>
      </c>
      <c r="C23" s="23">
        <v>396</v>
      </c>
      <c r="D23" s="24">
        <f t="shared" si="0"/>
        <v>502</v>
      </c>
      <c r="E23" s="25">
        <v>158</v>
      </c>
      <c r="F23" s="23">
        <v>397</v>
      </c>
      <c r="G23" s="26">
        <f t="shared" si="1"/>
        <v>555</v>
      </c>
      <c r="H23" s="22">
        <v>179</v>
      </c>
      <c r="I23" s="23">
        <v>432</v>
      </c>
      <c r="J23" s="24">
        <f t="shared" si="2"/>
        <v>611</v>
      </c>
      <c r="K23" s="25">
        <v>145</v>
      </c>
      <c r="L23" s="23">
        <v>443</v>
      </c>
      <c r="M23" s="26">
        <f t="shared" si="3"/>
        <v>588</v>
      </c>
      <c r="N23" s="22">
        <v>193</v>
      </c>
      <c r="O23" s="23">
        <v>521</v>
      </c>
      <c r="P23" s="26">
        <f t="shared" si="4"/>
        <v>714</v>
      </c>
    </row>
    <row r="24" spans="1:16" ht="12.75">
      <c r="A24" s="7" t="s">
        <v>25</v>
      </c>
      <c r="B24" s="22">
        <v>1369</v>
      </c>
      <c r="C24" s="23">
        <v>1646</v>
      </c>
      <c r="D24" s="24">
        <f t="shared" si="0"/>
        <v>3015</v>
      </c>
      <c r="E24" s="25">
        <v>1455</v>
      </c>
      <c r="F24" s="23">
        <v>1532</v>
      </c>
      <c r="G24" s="26">
        <f t="shared" si="1"/>
        <v>2987</v>
      </c>
      <c r="H24" s="22">
        <v>1387</v>
      </c>
      <c r="I24" s="23">
        <v>1640</v>
      </c>
      <c r="J24" s="24">
        <f t="shared" si="2"/>
        <v>3027</v>
      </c>
      <c r="K24" s="25">
        <v>1364</v>
      </c>
      <c r="L24" s="23">
        <v>1617</v>
      </c>
      <c r="M24" s="26">
        <f t="shared" si="3"/>
        <v>2981</v>
      </c>
      <c r="N24" s="22">
        <v>1365</v>
      </c>
      <c r="O24" s="23">
        <v>1562</v>
      </c>
      <c r="P24" s="26">
        <f t="shared" si="4"/>
        <v>2927</v>
      </c>
    </row>
    <row r="25" spans="1:16" ht="12.75">
      <c r="A25" s="7" t="s">
        <v>26</v>
      </c>
      <c r="B25" s="22">
        <v>1</v>
      </c>
      <c r="C25" s="23">
        <v>3</v>
      </c>
      <c r="D25" s="24">
        <f t="shared" si="0"/>
        <v>4</v>
      </c>
      <c r="E25" s="25">
        <v>1</v>
      </c>
      <c r="F25" s="23">
        <v>0</v>
      </c>
      <c r="G25" s="26">
        <f t="shared" si="1"/>
        <v>1</v>
      </c>
      <c r="H25" s="22">
        <v>0</v>
      </c>
      <c r="I25" s="23">
        <v>0</v>
      </c>
      <c r="J25" s="24">
        <f t="shared" si="2"/>
        <v>0</v>
      </c>
      <c r="K25" s="25">
        <v>3</v>
      </c>
      <c r="L25" s="23">
        <v>1</v>
      </c>
      <c r="M25" s="26">
        <f t="shared" si="3"/>
        <v>4</v>
      </c>
      <c r="N25" s="22">
        <v>1</v>
      </c>
      <c r="O25" s="23">
        <v>0</v>
      </c>
      <c r="P25" s="26">
        <f t="shared" si="4"/>
        <v>1</v>
      </c>
    </row>
    <row r="26" spans="1:16" ht="12.75">
      <c r="A26" s="7" t="s">
        <v>27</v>
      </c>
      <c r="B26" s="22">
        <v>2145</v>
      </c>
      <c r="C26" s="23">
        <v>2406</v>
      </c>
      <c r="D26" s="24">
        <f t="shared" si="0"/>
        <v>4551</v>
      </c>
      <c r="E26" s="25">
        <v>2365</v>
      </c>
      <c r="F26" s="23">
        <v>2399</v>
      </c>
      <c r="G26" s="26">
        <f t="shared" si="1"/>
        <v>4764</v>
      </c>
      <c r="H26" s="22">
        <v>2358</v>
      </c>
      <c r="I26" s="23">
        <v>2585</v>
      </c>
      <c r="J26" s="24">
        <f t="shared" si="2"/>
        <v>4943</v>
      </c>
      <c r="K26" s="25">
        <v>2407</v>
      </c>
      <c r="L26" s="23">
        <v>2736</v>
      </c>
      <c r="M26" s="26">
        <f t="shared" si="3"/>
        <v>5143</v>
      </c>
      <c r="N26" s="22">
        <v>2455</v>
      </c>
      <c r="O26" s="23">
        <v>2702</v>
      </c>
      <c r="P26" s="26">
        <f t="shared" si="4"/>
        <v>5157</v>
      </c>
    </row>
    <row r="27" spans="1:16" s="4" customFormat="1" ht="12.75">
      <c r="A27" s="8" t="s">
        <v>28</v>
      </c>
      <c r="B27" s="28">
        <v>2212</v>
      </c>
      <c r="C27" s="29">
        <v>2547</v>
      </c>
      <c r="D27" s="36">
        <f t="shared" si="0"/>
        <v>4759</v>
      </c>
      <c r="E27" s="30">
        <v>2463</v>
      </c>
      <c r="F27" s="29">
        <v>2702</v>
      </c>
      <c r="G27" s="37">
        <f t="shared" si="1"/>
        <v>5165</v>
      </c>
      <c r="H27" s="28">
        <v>2546</v>
      </c>
      <c r="I27" s="29">
        <v>2945</v>
      </c>
      <c r="J27" s="36">
        <f t="shared" si="2"/>
        <v>5491</v>
      </c>
      <c r="K27" s="30">
        <v>2474</v>
      </c>
      <c r="L27" s="29">
        <v>2897</v>
      </c>
      <c r="M27" s="37">
        <f t="shared" si="3"/>
        <v>5371</v>
      </c>
      <c r="N27" s="28">
        <v>2582</v>
      </c>
      <c r="O27" s="29">
        <v>3045</v>
      </c>
      <c r="P27" s="37">
        <f t="shared" si="4"/>
        <v>5627</v>
      </c>
    </row>
    <row r="28" spans="1:16" ht="12.75">
      <c r="A28" s="7" t="s">
        <v>29</v>
      </c>
      <c r="B28" s="22">
        <v>0</v>
      </c>
      <c r="C28" s="23">
        <v>0</v>
      </c>
      <c r="D28" s="24">
        <f t="shared" si="0"/>
        <v>0</v>
      </c>
      <c r="E28" s="25">
        <v>0</v>
      </c>
      <c r="F28" s="23">
        <v>0</v>
      </c>
      <c r="G28" s="26">
        <f t="shared" si="1"/>
        <v>0</v>
      </c>
      <c r="H28" s="22">
        <v>0</v>
      </c>
      <c r="I28" s="23">
        <v>0</v>
      </c>
      <c r="J28" s="24">
        <f t="shared" si="2"/>
        <v>0</v>
      </c>
      <c r="K28" s="25">
        <v>157</v>
      </c>
      <c r="L28" s="23">
        <v>136</v>
      </c>
      <c r="M28" s="26">
        <f t="shared" si="3"/>
        <v>293</v>
      </c>
      <c r="N28" s="22">
        <v>127</v>
      </c>
      <c r="O28" s="23">
        <v>186</v>
      </c>
      <c r="P28" s="26">
        <f t="shared" si="4"/>
        <v>313</v>
      </c>
    </row>
    <row r="29" spans="1:16" s="4" customFormat="1" ht="12.75">
      <c r="A29" s="8" t="s">
        <v>30</v>
      </c>
      <c r="B29" s="28">
        <v>1906</v>
      </c>
      <c r="C29" s="29">
        <v>2046</v>
      </c>
      <c r="D29" s="36">
        <f t="shared" si="0"/>
        <v>3952</v>
      </c>
      <c r="E29" s="30">
        <v>2085</v>
      </c>
      <c r="F29" s="29">
        <v>2005</v>
      </c>
      <c r="G29" s="37">
        <f t="shared" si="1"/>
        <v>4090</v>
      </c>
      <c r="H29" s="28">
        <v>2111</v>
      </c>
      <c r="I29" s="29">
        <v>2214</v>
      </c>
      <c r="J29" s="36">
        <f t="shared" si="2"/>
        <v>4325</v>
      </c>
      <c r="K29" s="30">
        <v>2119</v>
      </c>
      <c r="L29" s="29">
        <v>2283</v>
      </c>
      <c r="M29" s="37">
        <f t="shared" si="3"/>
        <v>4402</v>
      </c>
      <c r="N29" s="28">
        <v>2091</v>
      </c>
      <c r="O29" s="29">
        <v>2247</v>
      </c>
      <c r="P29" s="37">
        <f t="shared" si="4"/>
        <v>4338</v>
      </c>
    </row>
    <row r="30" spans="1:16" ht="12.75">
      <c r="A30" s="7" t="s">
        <v>31</v>
      </c>
      <c r="B30" s="22">
        <v>1933</v>
      </c>
      <c r="C30" s="23">
        <v>2242</v>
      </c>
      <c r="D30" s="24">
        <f t="shared" si="0"/>
        <v>4175</v>
      </c>
      <c r="E30" s="25">
        <v>2142</v>
      </c>
      <c r="F30" s="23">
        <v>2211</v>
      </c>
      <c r="G30" s="26">
        <f t="shared" si="1"/>
        <v>4353</v>
      </c>
      <c r="H30" s="22">
        <v>2207</v>
      </c>
      <c r="I30" s="23">
        <v>2335</v>
      </c>
      <c r="J30" s="24">
        <f t="shared" si="2"/>
        <v>4542</v>
      </c>
      <c r="K30" s="25">
        <v>2180</v>
      </c>
      <c r="L30" s="23">
        <v>2564</v>
      </c>
      <c r="M30" s="26">
        <f t="shared" si="3"/>
        <v>4744</v>
      </c>
      <c r="N30" s="22">
        <v>2266</v>
      </c>
      <c r="O30" s="23">
        <v>2646</v>
      </c>
      <c r="P30" s="26">
        <f t="shared" si="4"/>
        <v>4912</v>
      </c>
    </row>
    <row r="31" spans="1:16" ht="12.75">
      <c r="A31" s="7" t="s">
        <v>32</v>
      </c>
      <c r="B31" s="22">
        <v>0</v>
      </c>
      <c r="C31" s="23">
        <v>3</v>
      </c>
      <c r="D31" s="24">
        <f t="shared" si="0"/>
        <v>3</v>
      </c>
      <c r="E31" s="25">
        <v>0</v>
      </c>
      <c r="F31" s="23">
        <v>13</v>
      </c>
      <c r="G31" s="26">
        <f t="shared" si="1"/>
        <v>13</v>
      </c>
      <c r="H31" s="22">
        <v>5</v>
      </c>
      <c r="I31" s="23">
        <v>8</v>
      </c>
      <c r="J31" s="24">
        <f t="shared" si="2"/>
        <v>13</v>
      </c>
      <c r="K31" s="25">
        <v>4</v>
      </c>
      <c r="L31" s="23">
        <v>7</v>
      </c>
      <c r="M31" s="26">
        <f t="shared" si="3"/>
        <v>11</v>
      </c>
      <c r="N31" s="22">
        <v>6</v>
      </c>
      <c r="O31" s="23">
        <v>4</v>
      </c>
      <c r="P31" s="26">
        <f t="shared" si="4"/>
        <v>10</v>
      </c>
    </row>
    <row r="32" spans="1:16" ht="12.75">
      <c r="A32" s="7" t="s">
        <v>33</v>
      </c>
      <c r="B32" s="22">
        <v>1091</v>
      </c>
      <c r="C32" s="23">
        <v>1548</v>
      </c>
      <c r="D32" s="24">
        <f t="shared" si="0"/>
        <v>2639</v>
      </c>
      <c r="E32" s="25">
        <v>1164</v>
      </c>
      <c r="F32" s="23">
        <v>1439</v>
      </c>
      <c r="G32" s="26">
        <f t="shared" si="1"/>
        <v>2603</v>
      </c>
      <c r="H32" s="22">
        <v>828</v>
      </c>
      <c r="I32" s="23">
        <v>1378</v>
      </c>
      <c r="J32" s="24">
        <f t="shared" si="2"/>
        <v>2206</v>
      </c>
      <c r="K32" s="25">
        <v>890</v>
      </c>
      <c r="L32" s="23">
        <v>1320</v>
      </c>
      <c r="M32" s="26">
        <f t="shared" si="3"/>
        <v>2210</v>
      </c>
      <c r="N32" s="22">
        <v>878</v>
      </c>
      <c r="O32" s="23">
        <v>1302</v>
      </c>
      <c r="P32" s="26">
        <f t="shared" si="4"/>
        <v>2180</v>
      </c>
    </row>
    <row r="33" spans="1:16" ht="12.75">
      <c r="A33" s="7" t="s">
        <v>34</v>
      </c>
      <c r="B33" s="22">
        <v>43</v>
      </c>
      <c r="C33" s="23">
        <v>222</v>
      </c>
      <c r="D33" s="24">
        <f t="shared" si="0"/>
        <v>265</v>
      </c>
      <c r="E33" s="25">
        <v>53</v>
      </c>
      <c r="F33" s="23">
        <v>230</v>
      </c>
      <c r="G33" s="26">
        <f t="shared" si="1"/>
        <v>283</v>
      </c>
      <c r="H33" s="22">
        <v>61</v>
      </c>
      <c r="I33" s="23">
        <v>220</v>
      </c>
      <c r="J33" s="24">
        <f t="shared" si="2"/>
        <v>281</v>
      </c>
      <c r="K33" s="25">
        <v>59</v>
      </c>
      <c r="L33" s="23">
        <v>226</v>
      </c>
      <c r="M33" s="26">
        <f t="shared" si="3"/>
        <v>285</v>
      </c>
      <c r="N33" s="22">
        <v>54</v>
      </c>
      <c r="O33" s="23">
        <v>196</v>
      </c>
      <c r="P33" s="26">
        <f t="shared" si="4"/>
        <v>250</v>
      </c>
    </row>
    <row r="34" spans="1:16" s="4" customFormat="1" ht="12.75">
      <c r="A34" s="8" t="s">
        <v>35</v>
      </c>
      <c r="B34" s="28">
        <v>24</v>
      </c>
      <c r="C34" s="29">
        <v>0</v>
      </c>
      <c r="D34" s="36">
        <f t="shared" si="0"/>
        <v>24</v>
      </c>
      <c r="E34" s="30">
        <v>40</v>
      </c>
      <c r="F34" s="29">
        <v>0</v>
      </c>
      <c r="G34" s="37">
        <f t="shared" si="1"/>
        <v>40</v>
      </c>
      <c r="H34" s="28">
        <v>28</v>
      </c>
      <c r="I34" s="29">
        <v>2</v>
      </c>
      <c r="J34" s="36">
        <f t="shared" si="2"/>
        <v>30</v>
      </c>
      <c r="K34" s="30">
        <v>16</v>
      </c>
      <c r="L34" s="29">
        <v>1</v>
      </c>
      <c r="M34" s="37">
        <f t="shared" si="3"/>
        <v>17</v>
      </c>
      <c r="N34" s="28">
        <v>13</v>
      </c>
      <c r="O34" s="29">
        <v>1</v>
      </c>
      <c r="P34" s="37">
        <f t="shared" si="4"/>
        <v>14</v>
      </c>
    </row>
    <row r="35" spans="1:16" ht="13.5" thickBot="1">
      <c r="A35" s="71" t="s">
        <v>36</v>
      </c>
      <c r="B35" s="72">
        <v>0</v>
      </c>
      <c r="C35" s="73">
        <v>46</v>
      </c>
      <c r="D35" s="74">
        <f t="shared" si="0"/>
        <v>46</v>
      </c>
      <c r="E35" s="75">
        <v>0</v>
      </c>
      <c r="F35" s="73">
        <v>40</v>
      </c>
      <c r="G35" s="76">
        <f t="shared" si="1"/>
        <v>40</v>
      </c>
      <c r="H35" s="72">
        <v>0</v>
      </c>
      <c r="I35" s="73">
        <v>32</v>
      </c>
      <c r="J35" s="74">
        <f t="shared" si="2"/>
        <v>32</v>
      </c>
      <c r="K35" s="75">
        <v>2</v>
      </c>
      <c r="L35" s="73">
        <v>30</v>
      </c>
      <c r="M35" s="76">
        <f t="shared" si="3"/>
        <v>32</v>
      </c>
      <c r="N35" s="72">
        <v>0</v>
      </c>
      <c r="O35" s="73">
        <v>33</v>
      </c>
      <c r="P35" s="76">
        <f t="shared" si="4"/>
        <v>33</v>
      </c>
    </row>
    <row r="36" spans="1:16" s="83" customFormat="1" ht="15.75" thickTop="1">
      <c r="A36" s="77" t="s">
        <v>39</v>
      </c>
      <c r="B36" s="78">
        <f>SUM(B3:B35)</f>
        <v>20781</v>
      </c>
      <c r="C36" s="79">
        <f>SUM(C3:C35)</f>
        <v>24297</v>
      </c>
      <c r="D36" s="80">
        <f t="shared" si="0"/>
        <v>45078</v>
      </c>
      <c r="E36" s="81">
        <f>SUM(E3:E35)</f>
        <v>22714</v>
      </c>
      <c r="F36" s="79">
        <f>SUM(F3:F35)</f>
        <v>24425</v>
      </c>
      <c r="G36" s="82">
        <f t="shared" si="1"/>
        <v>47139</v>
      </c>
      <c r="H36" s="78">
        <f>SUM(H3:H35)</f>
        <v>21973</v>
      </c>
      <c r="I36" s="79">
        <f>SUM(I3:I35)</f>
        <v>25742</v>
      </c>
      <c r="J36" s="80">
        <f t="shared" si="2"/>
        <v>47715</v>
      </c>
      <c r="K36" s="81">
        <f>SUM(K3:K35)</f>
        <v>22245</v>
      </c>
      <c r="L36" s="79">
        <f>SUM(L3:L35)</f>
        <v>26586</v>
      </c>
      <c r="M36" s="82">
        <f t="shared" si="3"/>
        <v>48831</v>
      </c>
      <c r="N36" s="78">
        <f>SUM(N3:N35)</f>
        <v>22737</v>
      </c>
      <c r="O36" s="79">
        <f>SUM(O3:O35)</f>
        <v>26760</v>
      </c>
      <c r="P36" s="82">
        <f t="shared" si="4"/>
        <v>49497</v>
      </c>
    </row>
    <row r="37" spans="1:16" s="90" customFormat="1" ht="15">
      <c r="A37" s="84" t="s">
        <v>40</v>
      </c>
      <c r="B37" s="85">
        <f>B34+B29+B27+B20+B11+B8+B6</f>
        <v>6673</v>
      </c>
      <c r="C37" s="86">
        <f aca="true" t="shared" si="5" ref="C37:P37">C34+C29+C27+C20+C11+C8+C6</f>
        <v>6584</v>
      </c>
      <c r="D37" s="87">
        <f t="shared" si="5"/>
        <v>13257</v>
      </c>
      <c r="E37" s="88">
        <f t="shared" si="5"/>
        <v>7322</v>
      </c>
      <c r="F37" s="86">
        <f t="shared" si="5"/>
        <v>6831</v>
      </c>
      <c r="G37" s="89">
        <f t="shared" si="5"/>
        <v>14153</v>
      </c>
      <c r="H37" s="85">
        <f t="shared" si="5"/>
        <v>7362</v>
      </c>
      <c r="I37" s="86">
        <f t="shared" si="5"/>
        <v>7407</v>
      </c>
      <c r="J37" s="87">
        <f t="shared" si="5"/>
        <v>14769</v>
      </c>
      <c r="K37" s="88">
        <f t="shared" si="5"/>
        <v>7299</v>
      </c>
      <c r="L37" s="86">
        <f t="shared" si="5"/>
        <v>7470</v>
      </c>
      <c r="M37" s="89">
        <f t="shared" si="5"/>
        <v>14769</v>
      </c>
      <c r="N37" s="85">
        <f t="shared" si="5"/>
        <v>7348</v>
      </c>
      <c r="O37" s="86">
        <f t="shared" si="5"/>
        <v>7495</v>
      </c>
      <c r="P37" s="89">
        <f t="shared" si="5"/>
        <v>14843</v>
      </c>
    </row>
  </sheetData>
  <sheetProtection password="E889" sheet="1" objects="1" scenarios="1"/>
  <mergeCells count="5">
    <mergeCell ref="N1:P1"/>
    <mergeCell ref="B1:D1"/>
    <mergeCell ref="E1:G1"/>
    <mergeCell ref="H1:J1"/>
    <mergeCell ref="K1:M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4" customWidth="1"/>
    <col min="5" max="6" width="9.140625" style="31" customWidth="1"/>
    <col min="7" max="7" width="9.140625" style="56" customWidth="1"/>
    <col min="10" max="10" width="9.140625" style="3" customWidth="1"/>
    <col min="13" max="13" width="9.140625" style="3" customWidth="1"/>
  </cols>
  <sheetData>
    <row r="1" spans="1:7" s="38" customFormat="1" ht="15">
      <c r="A1" s="52">
        <v>37012</v>
      </c>
      <c r="B1" s="109">
        <v>1</v>
      </c>
      <c r="C1" s="111">
        <v>2</v>
      </c>
      <c r="D1" s="111">
        <v>3</v>
      </c>
      <c r="E1" s="111">
        <v>4</v>
      </c>
      <c r="F1" s="105">
        <v>5</v>
      </c>
      <c r="G1" s="107" t="s">
        <v>3</v>
      </c>
    </row>
    <row r="2" spans="1:13" s="2" customFormat="1" ht="13.5" thickBot="1">
      <c r="A2" s="93" t="s">
        <v>0</v>
      </c>
      <c r="B2" s="110"/>
      <c r="C2" s="112"/>
      <c r="D2" s="112"/>
      <c r="E2" s="112"/>
      <c r="F2" s="106"/>
      <c r="G2" s="108"/>
      <c r="J2" s="1"/>
      <c r="M2" s="1"/>
    </row>
    <row r="3" spans="1:7" s="3" customFormat="1" ht="13.5" thickTop="1">
      <c r="A3" s="44" t="s">
        <v>7</v>
      </c>
      <c r="B3" s="45">
        <f>B4+B5</f>
        <v>33</v>
      </c>
      <c r="C3" s="21">
        <f>C4+C5</f>
        <v>105</v>
      </c>
      <c r="D3" s="21">
        <f>D4+D5</f>
        <v>135</v>
      </c>
      <c r="E3" s="21">
        <f>E4+E5</f>
        <v>249</v>
      </c>
      <c r="F3" s="18">
        <f>F4+F5</f>
        <v>105</v>
      </c>
      <c r="G3" s="53">
        <f aca="true" t="shared" si="0" ref="G3:G23">SUM(B3:F3)</f>
        <v>627</v>
      </c>
    </row>
    <row r="4" spans="1:7" ht="12.75">
      <c r="A4" s="43" t="s">
        <v>1</v>
      </c>
      <c r="B4" s="22">
        <v>23</v>
      </c>
      <c r="C4" s="23">
        <v>47</v>
      </c>
      <c r="D4" s="42">
        <v>56</v>
      </c>
      <c r="E4" s="42">
        <f>52+48</f>
        <v>100</v>
      </c>
      <c r="F4" s="46">
        <v>43</v>
      </c>
      <c r="G4" s="54">
        <f t="shared" si="0"/>
        <v>269</v>
      </c>
    </row>
    <row r="5" spans="1:7" ht="13.5" thickBot="1">
      <c r="A5" s="47" t="s">
        <v>2</v>
      </c>
      <c r="B5" s="48">
        <v>10</v>
      </c>
      <c r="C5" s="49">
        <v>58</v>
      </c>
      <c r="D5" s="50">
        <v>79</v>
      </c>
      <c r="E5" s="49">
        <f>104+45</f>
        <v>149</v>
      </c>
      <c r="F5" s="51">
        <v>62</v>
      </c>
      <c r="G5" s="55">
        <f t="shared" si="0"/>
        <v>358</v>
      </c>
    </row>
    <row r="6" spans="1:7" s="3" customFormat="1" ht="12.75">
      <c r="A6" s="44" t="s">
        <v>9</v>
      </c>
      <c r="B6" s="45">
        <f>B7+B8</f>
        <v>61</v>
      </c>
      <c r="C6" s="21">
        <f>C7+C8</f>
        <v>111</v>
      </c>
      <c r="D6" s="21">
        <f>D7+D8</f>
        <v>125</v>
      </c>
      <c r="E6" s="21">
        <f>E7+E8</f>
        <v>184</v>
      </c>
      <c r="F6" s="18">
        <f>F7+F8</f>
        <v>87</v>
      </c>
      <c r="G6" s="53">
        <f t="shared" si="0"/>
        <v>568</v>
      </c>
    </row>
    <row r="7" spans="1:7" ht="12.75">
      <c r="A7" s="43" t="s">
        <v>1</v>
      </c>
      <c r="B7" s="22">
        <v>31</v>
      </c>
      <c r="C7" s="23">
        <v>35</v>
      </c>
      <c r="D7" s="42">
        <v>59</v>
      </c>
      <c r="E7" s="23">
        <f>63+39</f>
        <v>102</v>
      </c>
      <c r="F7" s="46">
        <v>52</v>
      </c>
      <c r="G7" s="54">
        <f t="shared" si="0"/>
        <v>279</v>
      </c>
    </row>
    <row r="8" spans="1:7" ht="13.5" thickBot="1">
      <c r="A8" s="47" t="s">
        <v>2</v>
      </c>
      <c r="B8" s="48">
        <v>30</v>
      </c>
      <c r="C8" s="49">
        <v>76</v>
      </c>
      <c r="D8" s="50">
        <v>66</v>
      </c>
      <c r="E8" s="49">
        <f>48+34</f>
        <v>82</v>
      </c>
      <c r="F8" s="51">
        <v>35</v>
      </c>
      <c r="G8" s="55">
        <f t="shared" si="0"/>
        <v>289</v>
      </c>
    </row>
    <row r="9" spans="1:7" s="3" customFormat="1" ht="12.75">
      <c r="A9" s="44" t="s">
        <v>12</v>
      </c>
      <c r="B9" s="45">
        <f>B10+B11</f>
        <v>52</v>
      </c>
      <c r="C9" s="21">
        <f>C10+C11</f>
        <v>124</v>
      </c>
      <c r="D9" s="21">
        <f>D10+D11</f>
        <v>181</v>
      </c>
      <c r="E9" s="21">
        <f>E10+E11</f>
        <v>537</v>
      </c>
      <c r="F9" s="18">
        <f>F10+F11</f>
        <v>221</v>
      </c>
      <c r="G9" s="53">
        <f t="shared" si="0"/>
        <v>1115</v>
      </c>
    </row>
    <row r="10" spans="1:7" ht="12.75">
      <c r="A10" s="43" t="s">
        <v>1</v>
      </c>
      <c r="B10" s="22">
        <v>39</v>
      </c>
      <c r="C10" s="23">
        <v>91</v>
      </c>
      <c r="D10" s="42">
        <v>124</v>
      </c>
      <c r="E10" s="23">
        <f>137+162</f>
        <v>299</v>
      </c>
      <c r="F10" s="46">
        <v>106</v>
      </c>
      <c r="G10" s="54">
        <f t="shared" si="0"/>
        <v>659</v>
      </c>
    </row>
    <row r="11" spans="1:7" ht="13.5" thickBot="1">
      <c r="A11" s="47" t="s">
        <v>2</v>
      </c>
      <c r="B11" s="48">
        <v>13</v>
      </c>
      <c r="C11" s="49">
        <v>33</v>
      </c>
      <c r="D11" s="50">
        <v>57</v>
      </c>
      <c r="E11" s="49">
        <f>94+144</f>
        <v>238</v>
      </c>
      <c r="F11" s="51">
        <v>115</v>
      </c>
      <c r="G11" s="55">
        <f t="shared" si="0"/>
        <v>456</v>
      </c>
    </row>
    <row r="12" spans="1:7" s="3" customFormat="1" ht="12.75">
      <c r="A12" s="44" t="s">
        <v>37</v>
      </c>
      <c r="B12" s="45">
        <f>B13+B14</f>
        <v>8</v>
      </c>
      <c r="C12" s="21">
        <f>C13+C14</f>
        <v>13</v>
      </c>
      <c r="D12" s="21">
        <f>D13+D14</f>
        <v>35</v>
      </c>
      <c r="E12" s="21">
        <f>E13+E14</f>
        <v>55</v>
      </c>
      <c r="F12" s="18">
        <f>F13+F14</f>
        <v>180</v>
      </c>
      <c r="G12" s="53">
        <f t="shared" si="0"/>
        <v>291</v>
      </c>
    </row>
    <row r="13" spans="1:7" ht="12.75">
      <c r="A13" s="43" t="s">
        <v>1</v>
      </c>
      <c r="B13" s="22">
        <v>5</v>
      </c>
      <c r="C13" s="23">
        <v>11</v>
      </c>
      <c r="D13" s="42">
        <v>27</v>
      </c>
      <c r="E13" s="23">
        <f>21+27</f>
        <v>48</v>
      </c>
      <c r="F13" s="46">
        <v>170</v>
      </c>
      <c r="G13" s="54">
        <f t="shared" si="0"/>
        <v>261</v>
      </c>
    </row>
    <row r="14" spans="1:7" ht="13.5" thickBot="1">
      <c r="A14" s="47" t="s">
        <v>2</v>
      </c>
      <c r="B14" s="48">
        <v>3</v>
      </c>
      <c r="C14" s="49">
        <v>2</v>
      </c>
      <c r="D14" s="50">
        <v>8</v>
      </c>
      <c r="E14" s="49">
        <f>7+0</f>
        <v>7</v>
      </c>
      <c r="F14" s="51">
        <v>10</v>
      </c>
      <c r="G14" s="55">
        <f t="shared" si="0"/>
        <v>30</v>
      </c>
    </row>
    <row r="15" spans="1:7" s="3" customFormat="1" ht="12.75">
      <c r="A15" s="44" t="s">
        <v>28</v>
      </c>
      <c r="B15" s="45">
        <f>B16+B17</f>
        <v>258</v>
      </c>
      <c r="C15" s="21">
        <f>C16+C17</f>
        <v>362</v>
      </c>
      <c r="D15" s="21">
        <f>D16+D17</f>
        <v>351</v>
      </c>
      <c r="E15" s="21">
        <f>E16+E17</f>
        <v>952</v>
      </c>
      <c r="F15" s="18">
        <f>F16+F17</f>
        <v>560</v>
      </c>
      <c r="G15" s="53">
        <f t="shared" si="0"/>
        <v>2483</v>
      </c>
    </row>
    <row r="16" spans="1:7" ht="12.75">
      <c r="A16" s="43" t="s">
        <v>1</v>
      </c>
      <c r="B16" s="22">
        <v>127</v>
      </c>
      <c r="C16" s="23">
        <v>175</v>
      </c>
      <c r="D16" s="42">
        <v>180</v>
      </c>
      <c r="E16" s="23">
        <f>129+313</f>
        <v>442</v>
      </c>
      <c r="F16" s="46">
        <v>268</v>
      </c>
      <c r="G16" s="54">
        <f t="shared" si="0"/>
        <v>1192</v>
      </c>
    </row>
    <row r="17" spans="1:7" ht="13.5" thickBot="1">
      <c r="A17" s="47" t="s">
        <v>2</v>
      </c>
      <c r="B17" s="48">
        <v>131</v>
      </c>
      <c r="C17" s="49">
        <v>187</v>
      </c>
      <c r="D17" s="50">
        <v>171</v>
      </c>
      <c r="E17" s="49">
        <f>145+365</f>
        <v>510</v>
      </c>
      <c r="F17" s="51">
        <v>292</v>
      </c>
      <c r="G17" s="55">
        <f t="shared" si="0"/>
        <v>1291</v>
      </c>
    </row>
    <row r="18" spans="1:7" s="3" customFormat="1" ht="12.75">
      <c r="A18" s="44" t="s">
        <v>30</v>
      </c>
      <c r="B18" s="45">
        <f>B19+B20</f>
        <v>137</v>
      </c>
      <c r="C18" s="21">
        <f>C19+C20</f>
        <v>167</v>
      </c>
      <c r="D18" s="21">
        <f>D19+D20</f>
        <v>299</v>
      </c>
      <c r="E18" s="21">
        <f>E19+E20</f>
        <v>1109</v>
      </c>
      <c r="F18" s="18">
        <f>F19+F20</f>
        <v>805</v>
      </c>
      <c r="G18" s="53">
        <f t="shared" si="0"/>
        <v>2517</v>
      </c>
    </row>
    <row r="19" spans="1:7" ht="12.75">
      <c r="A19" s="43" t="s">
        <v>1</v>
      </c>
      <c r="B19" s="22">
        <v>82</v>
      </c>
      <c r="C19" s="23">
        <v>90</v>
      </c>
      <c r="D19" s="42">
        <v>148</v>
      </c>
      <c r="E19" s="23">
        <f>268+243</f>
        <v>511</v>
      </c>
      <c r="F19" s="46">
        <v>363</v>
      </c>
      <c r="G19" s="54">
        <f t="shared" si="0"/>
        <v>1194</v>
      </c>
    </row>
    <row r="20" spans="1:7" ht="13.5" thickBot="1">
      <c r="A20" s="47" t="s">
        <v>2</v>
      </c>
      <c r="B20" s="48">
        <v>55</v>
      </c>
      <c r="C20" s="49">
        <v>77</v>
      </c>
      <c r="D20" s="50">
        <v>151</v>
      </c>
      <c r="E20" s="49">
        <f>255+343</f>
        <v>598</v>
      </c>
      <c r="F20" s="51">
        <v>442</v>
      </c>
      <c r="G20" s="55">
        <f t="shared" si="0"/>
        <v>1323</v>
      </c>
    </row>
    <row r="21" spans="1:7" s="3" customFormat="1" ht="12.75">
      <c r="A21" s="44" t="s">
        <v>38</v>
      </c>
      <c r="B21" s="45">
        <f>B22+B23</f>
        <v>0</v>
      </c>
      <c r="C21" s="21">
        <f>C22+C23</f>
        <v>0</v>
      </c>
      <c r="D21" s="21">
        <f>D22+D23</f>
        <v>0</v>
      </c>
      <c r="E21" s="21">
        <f>E22+E23</f>
        <v>0</v>
      </c>
      <c r="F21" s="18">
        <f>F22+F23</f>
        <v>3</v>
      </c>
      <c r="G21" s="53">
        <f t="shared" si="0"/>
        <v>3</v>
      </c>
    </row>
    <row r="22" spans="1:7" ht="12.75">
      <c r="A22" s="43" t="s">
        <v>1</v>
      </c>
      <c r="B22" s="22">
        <v>0</v>
      </c>
      <c r="C22" s="23">
        <v>0</v>
      </c>
      <c r="D22" s="42">
        <v>0</v>
      </c>
      <c r="E22" s="42">
        <f>0+0</f>
        <v>0</v>
      </c>
      <c r="F22" s="33">
        <v>3</v>
      </c>
      <c r="G22" s="54">
        <f t="shared" si="0"/>
        <v>3</v>
      </c>
    </row>
    <row r="23" spans="1:7" ht="12.75">
      <c r="A23" s="43" t="s">
        <v>2</v>
      </c>
      <c r="B23" s="22">
        <v>0</v>
      </c>
      <c r="C23" s="23">
        <v>0</v>
      </c>
      <c r="D23" s="42">
        <v>0</v>
      </c>
      <c r="E23" s="42">
        <v>0</v>
      </c>
      <c r="F23" s="33">
        <v>0</v>
      </c>
      <c r="G23" s="54">
        <f t="shared" si="0"/>
        <v>0</v>
      </c>
    </row>
  </sheetData>
  <sheetProtection password="E889" sheet="1" objects="1" scenarios="1"/>
  <mergeCells count="6">
    <mergeCell ref="F1:F2"/>
    <mergeCell ref="G1:G2"/>
    <mergeCell ref="B1:B2"/>
    <mergeCell ref="C1:C2"/>
    <mergeCell ref="D1:D2"/>
    <mergeCell ref="E1:E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4" customWidth="1"/>
    <col min="5" max="6" width="9.140625" style="31" customWidth="1"/>
    <col min="7" max="7" width="9.140625" style="56" customWidth="1"/>
    <col min="8" max="9" width="9.140625" style="5" customWidth="1"/>
    <col min="10" max="10" width="9.140625" style="6" customWidth="1"/>
    <col min="11" max="12" width="9.140625" style="5" customWidth="1"/>
    <col min="13" max="13" width="9.140625" style="3" customWidth="1"/>
  </cols>
  <sheetData>
    <row r="1" spans="1:12" s="38" customFormat="1" ht="15">
      <c r="A1" s="70">
        <v>37377</v>
      </c>
      <c r="B1" s="109">
        <v>1</v>
      </c>
      <c r="C1" s="111">
        <v>2</v>
      </c>
      <c r="D1" s="111">
        <v>3</v>
      </c>
      <c r="E1" s="111">
        <v>4</v>
      </c>
      <c r="F1" s="105">
        <v>5</v>
      </c>
      <c r="G1" s="107" t="s">
        <v>3</v>
      </c>
      <c r="H1" s="64"/>
      <c r="I1" s="64"/>
      <c r="J1" s="64"/>
      <c r="K1" s="64"/>
      <c r="L1" s="64"/>
    </row>
    <row r="2" spans="1:13" s="2" customFormat="1" ht="13.5" thickBot="1">
      <c r="A2" s="94" t="s">
        <v>0</v>
      </c>
      <c r="B2" s="110"/>
      <c r="C2" s="112"/>
      <c r="D2" s="112"/>
      <c r="E2" s="112"/>
      <c r="F2" s="106"/>
      <c r="G2" s="108"/>
      <c r="H2" s="65"/>
      <c r="I2" s="65"/>
      <c r="J2" s="66"/>
      <c r="K2" s="65"/>
      <c r="L2" s="65"/>
      <c r="M2" s="1"/>
    </row>
    <row r="3" spans="1:12" s="3" customFormat="1" ht="13.5" thickTop="1">
      <c r="A3" s="57" t="s">
        <v>7</v>
      </c>
      <c r="B3" s="59">
        <f>B4+B5</f>
        <v>40</v>
      </c>
      <c r="C3" s="21">
        <f>C4+C5</f>
        <v>107</v>
      </c>
      <c r="D3" s="21">
        <f>D4+D5</f>
        <v>152</v>
      </c>
      <c r="E3" s="21">
        <f>E4+E5</f>
        <v>265</v>
      </c>
      <c r="F3" s="20">
        <f>F4+F5</f>
        <v>204</v>
      </c>
      <c r="G3" s="67">
        <f aca="true" t="shared" si="0" ref="G3:G23">SUM(B3:F3)</f>
        <v>768</v>
      </c>
      <c r="H3" s="6"/>
      <c r="I3" s="6"/>
      <c r="J3" s="6"/>
      <c r="K3" s="6"/>
      <c r="L3" s="6"/>
    </row>
    <row r="4" spans="1:7" ht="12.75">
      <c r="A4" s="58" t="s">
        <v>1</v>
      </c>
      <c r="B4" s="25">
        <v>6</v>
      </c>
      <c r="C4" s="23">
        <v>27</v>
      </c>
      <c r="D4" s="42">
        <v>51</v>
      </c>
      <c r="E4" s="42">
        <f>79+21</f>
        <v>100</v>
      </c>
      <c r="F4" s="60">
        <f>61+22</f>
        <v>83</v>
      </c>
      <c r="G4" s="68">
        <f t="shared" si="0"/>
        <v>267</v>
      </c>
    </row>
    <row r="5" spans="1:7" ht="13.5" thickBot="1">
      <c r="A5" s="61" t="s">
        <v>2</v>
      </c>
      <c r="B5" s="62">
        <v>34</v>
      </c>
      <c r="C5" s="49">
        <v>80</v>
      </c>
      <c r="D5" s="50">
        <v>101</v>
      </c>
      <c r="E5" s="49">
        <f>105+60</f>
        <v>165</v>
      </c>
      <c r="F5" s="63">
        <f>60+61</f>
        <v>121</v>
      </c>
      <c r="G5" s="69">
        <f t="shared" si="0"/>
        <v>501</v>
      </c>
    </row>
    <row r="6" spans="1:12" s="3" customFormat="1" ht="12.75">
      <c r="A6" s="57" t="s">
        <v>9</v>
      </c>
      <c r="B6" s="59">
        <f>B7+B8</f>
        <v>68</v>
      </c>
      <c r="C6" s="21">
        <f>C7+C8</f>
        <v>93</v>
      </c>
      <c r="D6" s="21">
        <f>D7+D8</f>
        <v>111</v>
      </c>
      <c r="E6" s="21">
        <f>E7+E8</f>
        <v>156</v>
      </c>
      <c r="F6" s="20">
        <f>F7+F8</f>
        <v>174</v>
      </c>
      <c r="G6" s="67">
        <f t="shared" si="0"/>
        <v>602</v>
      </c>
      <c r="H6" s="6"/>
      <c r="I6" s="6"/>
      <c r="J6" s="6"/>
      <c r="K6" s="6"/>
      <c r="L6" s="6"/>
    </row>
    <row r="7" spans="1:7" ht="12.75">
      <c r="A7" s="58" t="s">
        <v>1</v>
      </c>
      <c r="B7" s="25">
        <v>33</v>
      </c>
      <c r="C7" s="23">
        <v>33</v>
      </c>
      <c r="D7" s="42">
        <v>47</v>
      </c>
      <c r="E7" s="23">
        <f>60+20</f>
        <v>80</v>
      </c>
      <c r="F7" s="60">
        <f>60+52</f>
        <v>112</v>
      </c>
      <c r="G7" s="68">
        <f t="shared" si="0"/>
        <v>305</v>
      </c>
    </row>
    <row r="8" spans="1:7" ht="13.5" thickBot="1">
      <c r="A8" s="61" t="s">
        <v>2</v>
      </c>
      <c r="B8" s="62">
        <v>35</v>
      </c>
      <c r="C8" s="49">
        <v>60</v>
      </c>
      <c r="D8" s="50">
        <v>64</v>
      </c>
      <c r="E8" s="49">
        <f>54+22</f>
        <v>76</v>
      </c>
      <c r="F8" s="63">
        <f>48+14</f>
        <v>62</v>
      </c>
      <c r="G8" s="69">
        <f t="shared" si="0"/>
        <v>297</v>
      </c>
    </row>
    <row r="9" spans="1:12" s="3" customFormat="1" ht="12.75">
      <c r="A9" s="57" t="s">
        <v>12</v>
      </c>
      <c r="B9" s="59">
        <f>B10+B11</f>
        <v>67</v>
      </c>
      <c r="C9" s="21">
        <f>C10+C11</f>
        <v>186</v>
      </c>
      <c r="D9" s="21">
        <f>D10+D11</f>
        <v>267</v>
      </c>
      <c r="E9" s="21">
        <f>E10+E11</f>
        <v>699</v>
      </c>
      <c r="F9" s="20">
        <f>F10+F11</f>
        <v>228</v>
      </c>
      <c r="G9" s="67">
        <f t="shared" si="0"/>
        <v>1447</v>
      </c>
      <c r="H9" s="6"/>
      <c r="I9" s="6"/>
      <c r="J9" s="6"/>
      <c r="K9" s="6"/>
      <c r="L9" s="6"/>
    </row>
    <row r="10" spans="1:7" ht="12.75">
      <c r="A10" s="58" t="s">
        <v>1</v>
      </c>
      <c r="B10" s="25">
        <v>33</v>
      </c>
      <c r="C10" s="23">
        <v>92</v>
      </c>
      <c r="D10" s="42">
        <v>148</v>
      </c>
      <c r="E10" s="23">
        <f>135+221</f>
        <v>356</v>
      </c>
      <c r="F10" s="60">
        <f>77+73</f>
        <v>150</v>
      </c>
      <c r="G10" s="68">
        <f t="shared" si="0"/>
        <v>779</v>
      </c>
    </row>
    <row r="11" spans="1:7" ht="13.5" thickBot="1">
      <c r="A11" s="61" t="s">
        <v>2</v>
      </c>
      <c r="B11" s="62">
        <v>34</v>
      </c>
      <c r="C11" s="49">
        <v>94</v>
      </c>
      <c r="D11" s="50">
        <v>119</v>
      </c>
      <c r="E11" s="49">
        <f>69+274</f>
        <v>343</v>
      </c>
      <c r="F11" s="63">
        <f>27+51</f>
        <v>78</v>
      </c>
      <c r="G11" s="69">
        <f t="shared" si="0"/>
        <v>668</v>
      </c>
    </row>
    <row r="12" spans="1:12" s="3" customFormat="1" ht="12.75">
      <c r="A12" s="57" t="s">
        <v>37</v>
      </c>
      <c r="B12" s="59">
        <f>B13+B14</f>
        <v>6</v>
      </c>
      <c r="C12" s="21">
        <f>C13+C14</f>
        <v>15</v>
      </c>
      <c r="D12" s="21">
        <f>D13+D14</f>
        <v>46</v>
      </c>
      <c r="E12" s="21">
        <f>E13+E14</f>
        <v>68</v>
      </c>
      <c r="F12" s="20">
        <f>F13+F14</f>
        <v>298</v>
      </c>
      <c r="G12" s="67">
        <f t="shared" si="0"/>
        <v>433</v>
      </c>
      <c r="H12" s="6"/>
      <c r="I12" s="6"/>
      <c r="J12" s="6"/>
      <c r="K12" s="6"/>
      <c r="L12" s="6"/>
    </row>
    <row r="13" spans="1:7" ht="12.75">
      <c r="A13" s="58" t="s">
        <v>1</v>
      </c>
      <c r="B13" s="25">
        <v>4</v>
      </c>
      <c r="C13" s="23">
        <v>14</v>
      </c>
      <c r="D13" s="42">
        <v>42</v>
      </c>
      <c r="E13" s="23">
        <f>40+21</f>
        <v>61</v>
      </c>
      <c r="F13" s="60">
        <f>101+158</f>
        <v>259</v>
      </c>
      <c r="G13" s="68">
        <f t="shared" si="0"/>
        <v>380</v>
      </c>
    </row>
    <row r="14" spans="1:7" ht="13.5" thickBot="1">
      <c r="A14" s="61" t="s">
        <v>2</v>
      </c>
      <c r="B14" s="62">
        <v>2</v>
      </c>
      <c r="C14" s="49">
        <v>1</v>
      </c>
      <c r="D14" s="50">
        <v>4</v>
      </c>
      <c r="E14" s="49">
        <f>7+0</f>
        <v>7</v>
      </c>
      <c r="F14" s="63">
        <f>16+23</f>
        <v>39</v>
      </c>
      <c r="G14" s="69">
        <f t="shared" si="0"/>
        <v>53</v>
      </c>
    </row>
    <row r="15" spans="1:12" s="3" customFormat="1" ht="12.75">
      <c r="A15" s="57" t="s">
        <v>28</v>
      </c>
      <c r="B15" s="59">
        <f>B16+B17</f>
        <v>277</v>
      </c>
      <c r="C15" s="21">
        <f>C16+C17</f>
        <v>375</v>
      </c>
      <c r="D15" s="21">
        <f>D16+D17</f>
        <v>407</v>
      </c>
      <c r="E15" s="21">
        <f>E16+E17</f>
        <v>1031</v>
      </c>
      <c r="F15" s="20">
        <f>F16+F17</f>
        <v>709</v>
      </c>
      <c r="G15" s="67">
        <f t="shared" si="0"/>
        <v>2799</v>
      </c>
      <c r="H15" s="6"/>
      <c r="I15" s="6"/>
      <c r="J15" s="6"/>
      <c r="K15" s="6"/>
      <c r="L15" s="6"/>
    </row>
    <row r="16" spans="1:7" ht="12.75">
      <c r="A16" s="58" t="s">
        <v>1</v>
      </c>
      <c r="B16" s="25">
        <v>117</v>
      </c>
      <c r="C16" s="23">
        <v>158</v>
      </c>
      <c r="D16" s="42">
        <v>205</v>
      </c>
      <c r="E16" s="23">
        <f>161+317</f>
        <v>478</v>
      </c>
      <c r="F16" s="60">
        <f>137+222</f>
        <v>359</v>
      </c>
      <c r="G16" s="68">
        <f t="shared" si="0"/>
        <v>1317</v>
      </c>
    </row>
    <row r="17" spans="1:7" ht="13.5" thickBot="1">
      <c r="A17" s="61" t="s">
        <v>2</v>
      </c>
      <c r="B17" s="62">
        <v>160</v>
      </c>
      <c r="C17" s="49">
        <v>217</v>
      </c>
      <c r="D17" s="50">
        <v>202</v>
      </c>
      <c r="E17" s="49">
        <f>135+418</f>
        <v>553</v>
      </c>
      <c r="F17" s="63">
        <f>83+267</f>
        <v>350</v>
      </c>
      <c r="G17" s="69">
        <f t="shared" si="0"/>
        <v>1482</v>
      </c>
    </row>
    <row r="18" spans="1:12" ht="12.75">
      <c r="A18" s="57" t="s">
        <v>30</v>
      </c>
      <c r="B18" s="59">
        <f>B19+B20</f>
        <v>160</v>
      </c>
      <c r="C18" s="21">
        <f>C19+C20</f>
        <v>174</v>
      </c>
      <c r="D18" s="21">
        <f>D19+D20</f>
        <v>322</v>
      </c>
      <c r="E18" s="21">
        <f>E19+E20</f>
        <v>1019</v>
      </c>
      <c r="F18" s="20">
        <f>F19+F20</f>
        <v>795</v>
      </c>
      <c r="G18" s="67">
        <f t="shared" si="0"/>
        <v>2470</v>
      </c>
      <c r="H18" s="6"/>
      <c r="I18" s="6"/>
      <c r="K18" s="6"/>
      <c r="L18" s="6"/>
    </row>
    <row r="19" spans="1:7" ht="12.75">
      <c r="A19" s="58" t="s">
        <v>1</v>
      </c>
      <c r="B19" s="25">
        <v>64</v>
      </c>
      <c r="C19" s="23">
        <v>90</v>
      </c>
      <c r="D19" s="42">
        <v>158</v>
      </c>
      <c r="E19" s="23">
        <f>361+150</f>
        <v>511</v>
      </c>
      <c r="F19" s="60">
        <f>138+283</f>
        <v>421</v>
      </c>
      <c r="G19" s="68">
        <f t="shared" si="0"/>
        <v>1244</v>
      </c>
    </row>
    <row r="20" spans="1:7" ht="13.5" thickBot="1">
      <c r="A20" s="61" t="s">
        <v>2</v>
      </c>
      <c r="B20" s="62">
        <v>96</v>
      </c>
      <c r="C20" s="49">
        <v>84</v>
      </c>
      <c r="D20" s="50">
        <v>164</v>
      </c>
      <c r="E20" s="49">
        <f>283+225</f>
        <v>508</v>
      </c>
      <c r="F20" s="63">
        <f>90+284</f>
        <v>374</v>
      </c>
      <c r="G20" s="69">
        <f t="shared" si="0"/>
        <v>1226</v>
      </c>
    </row>
    <row r="21" spans="1:12" ht="12.75">
      <c r="A21" s="57" t="s">
        <v>38</v>
      </c>
      <c r="B21" s="59">
        <f>B22+B23</f>
        <v>0</v>
      </c>
      <c r="C21" s="21">
        <f>C22+C23</f>
        <v>0</v>
      </c>
      <c r="D21" s="21">
        <f>D22+D23</f>
        <v>1</v>
      </c>
      <c r="E21" s="21">
        <f>E22+E23</f>
        <v>0</v>
      </c>
      <c r="F21" s="20">
        <f>F22+F23</f>
        <v>2</v>
      </c>
      <c r="G21" s="67">
        <f t="shared" si="0"/>
        <v>3</v>
      </c>
      <c r="H21" s="6"/>
      <c r="I21" s="6"/>
      <c r="K21" s="6"/>
      <c r="L21" s="6"/>
    </row>
    <row r="22" spans="1:7" ht="12.75">
      <c r="A22" s="58" t="s">
        <v>1</v>
      </c>
      <c r="B22" s="25">
        <v>0</v>
      </c>
      <c r="C22" s="23">
        <v>0</v>
      </c>
      <c r="D22" s="42">
        <v>1</v>
      </c>
      <c r="E22" s="42">
        <f>0+0</f>
        <v>0</v>
      </c>
      <c r="F22" s="35">
        <f>0+2</f>
        <v>2</v>
      </c>
      <c r="G22" s="68">
        <f t="shared" si="0"/>
        <v>3</v>
      </c>
    </row>
    <row r="23" spans="1:7" ht="12.75">
      <c r="A23" s="58" t="s">
        <v>2</v>
      </c>
      <c r="B23" s="25">
        <v>0</v>
      </c>
      <c r="C23" s="23">
        <v>0</v>
      </c>
      <c r="D23" s="42">
        <v>0</v>
      </c>
      <c r="E23" s="42">
        <v>0</v>
      </c>
      <c r="F23" s="35">
        <v>0</v>
      </c>
      <c r="G23" s="68">
        <f t="shared" si="0"/>
        <v>0</v>
      </c>
    </row>
  </sheetData>
  <sheetProtection password="E889" sheet="1" objects="1" scenarios="1"/>
  <mergeCells count="6">
    <mergeCell ref="F1:F2"/>
    <mergeCell ref="G1:G2"/>
    <mergeCell ref="B1:B2"/>
    <mergeCell ref="C1:C2"/>
    <mergeCell ref="D1:D2"/>
    <mergeCell ref="E1:E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4" customWidth="1"/>
    <col min="5" max="6" width="9.140625" style="31" customWidth="1"/>
    <col min="7" max="7" width="9.140625" style="56" customWidth="1"/>
    <col min="10" max="10" width="9.140625" style="3" customWidth="1"/>
    <col min="13" max="13" width="9.140625" style="3" customWidth="1"/>
  </cols>
  <sheetData>
    <row r="1" spans="1:7" s="38" customFormat="1" ht="15">
      <c r="A1" s="70">
        <v>37742</v>
      </c>
      <c r="B1" s="109">
        <v>1</v>
      </c>
      <c r="C1" s="111">
        <v>2</v>
      </c>
      <c r="D1" s="111">
        <v>3</v>
      </c>
      <c r="E1" s="111">
        <v>4</v>
      </c>
      <c r="F1" s="105">
        <v>5</v>
      </c>
      <c r="G1" s="107" t="s">
        <v>3</v>
      </c>
    </row>
    <row r="2" spans="1:13" s="2" customFormat="1" ht="13.5" thickBot="1">
      <c r="A2" s="95" t="s">
        <v>0</v>
      </c>
      <c r="B2" s="110"/>
      <c r="C2" s="112"/>
      <c r="D2" s="112"/>
      <c r="E2" s="112"/>
      <c r="F2" s="106"/>
      <c r="G2" s="108"/>
      <c r="J2" s="1"/>
      <c r="M2" s="1"/>
    </row>
    <row r="3" spans="1:7" s="3" customFormat="1" ht="13.5" thickTop="1">
      <c r="A3" s="57" t="s">
        <v>7</v>
      </c>
      <c r="B3" s="59">
        <f>B4+B5</f>
        <v>60</v>
      </c>
      <c r="C3" s="21">
        <f>C4+C5</f>
        <v>139</v>
      </c>
      <c r="D3" s="21">
        <f>D4+D5</f>
        <v>166</v>
      </c>
      <c r="E3" s="21">
        <f>E4+E5</f>
        <v>247</v>
      </c>
      <c r="F3" s="20">
        <f>F4+F5</f>
        <v>260</v>
      </c>
      <c r="G3" s="67">
        <f aca="true" t="shared" si="0" ref="G3:G23">SUM(B3:F3)</f>
        <v>872</v>
      </c>
    </row>
    <row r="4" spans="1:7" ht="12.75">
      <c r="A4" s="58" t="s">
        <v>1</v>
      </c>
      <c r="B4" s="25">
        <v>8</v>
      </c>
      <c r="C4" s="23">
        <v>34</v>
      </c>
      <c r="D4" s="42">
        <v>70</v>
      </c>
      <c r="E4" s="42">
        <f>80+12</f>
        <v>92</v>
      </c>
      <c r="F4" s="60">
        <f>69+24</f>
        <v>93</v>
      </c>
      <c r="G4" s="68">
        <f t="shared" si="0"/>
        <v>297</v>
      </c>
    </row>
    <row r="5" spans="1:7" ht="13.5" thickBot="1">
      <c r="A5" s="61" t="s">
        <v>2</v>
      </c>
      <c r="B5" s="62">
        <v>52</v>
      </c>
      <c r="C5" s="49">
        <v>105</v>
      </c>
      <c r="D5" s="50">
        <v>96</v>
      </c>
      <c r="E5" s="49">
        <f>124+31</f>
        <v>155</v>
      </c>
      <c r="F5" s="63">
        <f>104+63</f>
        <v>167</v>
      </c>
      <c r="G5" s="69">
        <f t="shared" si="0"/>
        <v>575</v>
      </c>
    </row>
    <row r="6" spans="1:7" s="3" customFormat="1" ht="12.75">
      <c r="A6" s="57" t="s">
        <v>9</v>
      </c>
      <c r="B6" s="59">
        <f>B7+B8</f>
        <v>86</v>
      </c>
      <c r="C6" s="21">
        <f>C7+C8</f>
        <v>93</v>
      </c>
      <c r="D6" s="21">
        <f>D7+D8</f>
        <v>121</v>
      </c>
      <c r="E6" s="21">
        <f>E7+E8</f>
        <v>176</v>
      </c>
      <c r="F6" s="20">
        <f>F7+F8</f>
        <v>142</v>
      </c>
      <c r="G6" s="67">
        <f t="shared" si="0"/>
        <v>618</v>
      </c>
    </row>
    <row r="7" spans="1:7" ht="12.75">
      <c r="A7" s="58" t="s">
        <v>1</v>
      </c>
      <c r="B7" s="25">
        <v>30</v>
      </c>
      <c r="C7" s="23">
        <v>45</v>
      </c>
      <c r="D7" s="42">
        <v>62</v>
      </c>
      <c r="E7" s="23">
        <f>66+18</f>
        <v>84</v>
      </c>
      <c r="F7" s="60">
        <f>43+24</f>
        <v>67</v>
      </c>
      <c r="G7" s="68">
        <f t="shared" si="0"/>
        <v>288</v>
      </c>
    </row>
    <row r="8" spans="1:7" ht="13.5" thickBot="1">
      <c r="A8" s="61" t="s">
        <v>2</v>
      </c>
      <c r="B8" s="62">
        <v>56</v>
      </c>
      <c r="C8" s="49">
        <v>48</v>
      </c>
      <c r="D8" s="50">
        <v>59</v>
      </c>
      <c r="E8" s="49">
        <f>73+19</f>
        <v>92</v>
      </c>
      <c r="F8" s="63">
        <f>56+19</f>
        <v>75</v>
      </c>
      <c r="G8" s="69">
        <f t="shared" si="0"/>
        <v>330</v>
      </c>
    </row>
    <row r="9" spans="1:7" s="3" customFormat="1" ht="12.75">
      <c r="A9" s="57" t="s">
        <v>12</v>
      </c>
      <c r="B9" s="59">
        <f>B10+B11</f>
        <v>73</v>
      </c>
      <c r="C9" s="21">
        <f>C10+C11</f>
        <v>185</v>
      </c>
      <c r="D9" s="21">
        <f>D10+D11</f>
        <v>270</v>
      </c>
      <c r="E9" s="21">
        <f>E10+E11</f>
        <v>442</v>
      </c>
      <c r="F9" s="20">
        <f>F10+F11</f>
        <v>297</v>
      </c>
      <c r="G9" s="67">
        <f t="shared" si="0"/>
        <v>1267</v>
      </c>
    </row>
    <row r="10" spans="1:7" ht="12.75">
      <c r="A10" s="58" t="s">
        <v>1</v>
      </c>
      <c r="B10" s="25">
        <v>33</v>
      </c>
      <c r="C10" s="23">
        <v>95</v>
      </c>
      <c r="D10" s="42">
        <v>154</v>
      </c>
      <c r="E10" s="23">
        <f>131+154</f>
        <v>285</v>
      </c>
      <c r="F10" s="60">
        <f>90+99</f>
        <v>189</v>
      </c>
      <c r="G10" s="68">
        <f t="shared" si="0"/>
        <v>756</v>
      </c>
    </row>
    <row r="11" spans="1:7" ht="13.5" thickBot="1">
      <c r="A11" s="61" t="s">
        <v>2</v>
      </c>
      <c r="B11" s="62">
        <v>40</v>
      </c>
      <c r="C11" s="49">
        <v>90</v>
      </c>
      <c r="D11" s="50">
        <v>116</v>
      </c>
      <c r="E11" s="49">
        <f>54+103</f>
        <v>157</v>
      </c>
      <c r="F11" s="63">
        <f>32+76</f>
        <v>108</v>
      </c>
      <c r="G11" s="69">
        <f t="shared" si="0"/>
        <v>511</v>
      </c>
    </row>
    <row r="12" spans="1:7" s="3" customFormat="1" ht="12.75">
      <c r="A12" s="57" t="s">
        <v>37</v>
      </c>
      <c r="B12" s="59">
        <f>B13+B14</f>
        <v>10</v>
      </c>
      <c r="C12" s="21">
        <f>C13+C14</f>
        <v>30</v>
      </c>
      <c r="D12" s="21">
        <f>D13+D14</f>
        <v>49</v>
      </c>
      <c r="E12" s="21">
        <f>E13+E14</f>
        <v>88</v>
      </c>
      <c r="F12" s="20">
        <f>F13+F14</f>
        <v>186</v>
      </c>
      <c r="G12" s="67">
        <f t="shared" si="0"/>
        <v>363</v>
      </c>
    </row>
    <row r="13" spans="1:7" ht="12.75">
      <c r="A13" s="58" t="s">
        <v>1</v>
      </c>
      <c r="B13" s="25">
        <v>10</v>
      </c>
      <c r="C13" s="23">
        <v>26</v>
      </c>
      <c r="D13" s="42">
        <v>39</v>
      </c>
      <c r="E13" s="23">
        <f>55+17</f>
        <v>72</v>
      </c>
      <c r="F13" s="60">
        <f>49+117</f>
        <v>166</v>
      </c>
      <c r="G13" s="68">
        <f t="shared" si="0"/>
        <v>313</v>
      </c>
    </row>
    <row r="14" spans="1:7" ht="13.5" thickBot="1">
      <c r="A14" s="61" t="s">
        <v>2</v>
      </c>
      <c r="B14" s="62">
        <v>0</v>
      </c>
      <c r="C14" s="49">
        <v>4</v>
      </c>
      <c r="D14" s="50">
        <v>10</v>
      </c>
      <c r="E14" s="49">
        <f>16+0</f>
        <v>16</v>
      </c>
      <c r="F14" s="63">
        <f>11+9</f>
        <v>20</v>
      </c>
      <c r="G14" s="69">
        <f t="shared" si="0"/>
        <v>50</v>
      </c>
    </row>
    <row r="15" spans="1:7" s="3" customFormat="1" ht="12.75">
      <c r="A15" s="57" t="s">
        <v>28</v>
      </c>
      <c r="B15" s="59">
        <f>B16+B17</f>
        <v>298</v>
      </c>
      <c r="C15" s="21">
        <f>C16+C17</f>
        <v>418</v>
      </c>
      <c r="D15" s="21">
        <f>D16+D17</f>
        <v>465</v>
      </c>
      <c r="E15" s="21">
        <f>E16+E17</f>
        <v>1148</v>
      </c>
      <c r="F15" s="20">
        <f>F16+F17</f>
        <v>823</v>
      </c>
      <c r="G15" s="67">
        <f t="shared" si="0"/>
        <v>3152</v>
      </c>
    </row>
    <row r="16" spans="1:7" ht="12.75">
      <c r="A16" s="58" t="s">
        <v>1</v>
      </c>
      <c r="B16" s="25">
        <v>129</v>
      </c>
      <c r="C16" s="23">
        <v>202</v>
      </c>
      <c r="D16" s="42">
        <v>214</v>
      </c>
      <c r="E16" s="23">
        <f>163+367</f>
        <v>530</v>
      </c>
      <c r="F16" s="60">
        <f>116+258</f>
        <v>374</v>
      </c>
      <c r="G16" s="68">
        <f t="shared" si="0"/>
        <v>1449</v>
      </c>
    </row>
    <row r="17" spans="1:7" ht="13.5" thickBot="1">
      <c r="A17" s="61" t="s">
        <v>2</v>
      </c>
      <c r="B17" s="62">
        <v>169</v>
      </c>
      <c r="C17" s="49">
        <v>216</v>
      </c>
      <c r="D17" s="50">
        <v>251</v>
      </c>
      <c r="E17" s="49">
        <f>207+411</f>
        <v>618</v>
      </c>
      <c r="F17" s="63">
        <f>135+314</f>
        <v>449</v>
      </c>
      <c r="G17" s="69">
        <f t="shared" si="0"/>
        <v>1703</v>
      </c>
    </row>
    <row r="18" spans="1:7" s="3" customFormat="1" ht="12.75">
      <c r="A18" s="57" t="s">
        <v>30</v>
      </c>
      <c r="B18" s="59">
        <f>B19+B20</f>
        <v>193</v>
      </c>
      <c r="C18" s="21">
        <f>C19+C20</f>
        <v>308</v>
      </c>
      <c r="D18" s="21">
        <f>D19+D20</f>
        <v>407</v>
      </c>
      <c r="E18" s="21">
        <f>E19+E20</f>
        <v>1031</v>
      </c>
      <c r="F18" s="20">
        <f>F19+F20</f>
        <v>844</v>
      </c>
      <c r="G18" s="67">
        <f t="shared" si="0"/>
        <v>2783</v>
      </c>
    </row>
    <row r="19" spans="1:7" ht="12.75">
      <c r="A19" s="58" t="s">
        <v>1</v>
      </c>
      <c r="B19" s="25">
        <v>105</v>
      </c>
      <c r="C19" s="23">
        <v>147</v>
      </c>
      <c r="D19" s="42">
        <v>207</v>
      </c>
      <c r="E19" s="23">
        <f>254+218</f>
        <v>472</v>
      </c>
      <c r="F19" s="60">
        <f>79+344</f>
        <v>423</v>
      </c>
      <c r="G19" s="68">
        <f t="shared" si="0"/>
        <v>1354</v>
      </c>
    </row>
    <row r="20" spans="1:7" ht="13.5" thickBot="1">
      <c r="A20" s="61" t="s">
        <v>2</v>
      </c>
      <c r="B20" s="62">
        <v>88</v>
      </c>
      <c r="C20" s="49">
        <v>161</v>
      </c>
      <c r="D20" s="50">
        <v>200</v>
      </c>
      <c r="E20" s="49">
        <f>256+303</f>
        <v>559</v>
      </c>
      <c r="F20" s="63">
        <f>64+357</f>
        <v>421</v>
      </c>
      <c r="G20" s="69">
        <f t="shared" si="0"/>
        <v>1429</v>
      </c>
    </row>
    <row r="21" spans="1:7" s="3" customFormat="1" ht="12.75">
      <c r="A21" s="57" t="s">
        <v>38</v>
      </c>
      <c r="B21" s="59">
        <f>B22+B23</f>
        <v>0</v>
      </c>
      <c r="C21" s="21">
        <f>C22+C23</f>
        <v>0</v>
      </c>
      <c r="D21" s="21">
        <f>D22+D23</f>
        <v>0</v>
      </c>
      <c r="E21" s="21">
        <f>E22+E23</f>
        <v>0</v>
      </c>
      <c r="F21" s="20">
        <f>F22+F23</f>
        <v>5</v>
      </c>
      <c r="G21" s="67">
        <f t="shared" si="0"/>
        <v>5</v>
      </c>
    </row>
    <row r="22" spans="1:7" ht="12.75">
      <c r="A22" s="58" t="s">
        <v>1</v>
      </c>
      <c r="B22" s="25">
        <v>0</v>
      </c>
      <c r="C22" s="23">
        <v>0</v>
      </c>
      <c r="D22" s="42">
        <v>0</v>
      </c>
      <c r="E22" s="42">
        <v>0</v>
      </c>
      <c r="F22" s="35">
        <f>1+4</f>
        <v>5</v>
      </c>
      <c r="G22" s="68">
        <f t="shared" si="0"/>
        <v>5</v>
      </c>
    </row>
    <row r="23" spans="1:7" ht="12.75">
      <c r="A23" s="58" t="s">
        <v>2</v>
      </c>
      <c r="B23" s="25">
        <v>0</v>
      </c>
      <c r="C23" s="23">
        <v>0</v>
      </c>
      <c r="D23" s="42">
        <v>0</v>
      </c>
      <c r="E23" s="42">
        <v>0</v>
      </c>
      <c r="F23" s="35">
        <v>0</v>
      </c>
      <c r="G23" s="68">
        <f t="shared" si="0"/>
        <v>0</v>
      </c>
    </row>
  </sheetData>
  <sheetProtection password="E889" sheet="1" objects="1" scenarios="1"/>
  <mergeCells count="6">
    <mergeCell ref="F1:F2"/>
    <mergeCell ref="G1:G2"/>
    <mergeCell ref="B1:B2"/>
    <mergeCell ref="C1:C2"/>
    <mergeCell ref="D1:D2"/>
    <mergeCell ref="E1:E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4" customWidth="1"/>
    <col min="5" max="6" width="9.140625" style="31" customWidth="1"/>
    <col min="7" max="7" width="9.140625" style="56" customWidth="1"/>
    <col min="10" max="10" width="9.140625" style="3" customWidth="1"/>
    <col min="13" max="13" width="9.140625" style="3" customWidth="1"/>
  </cols>
  <sheetData>
    <row r="1" spans="1:7" s="38" customFormat="1" ht="15">
      <c r="A1" s="70">
        <v>38108</v>
      </c>
      <c r="B1" s="109">
        <v>1</v>
      </c>
      <c r="C1" s="111">
        <v>2</v>
      </c>
      <c r="D1" s="111">
        <v>3</v>
      </c>
      <c r="E1" s="111">
        <v>4</v>
      </c>
      <c r="F1" s="105">
        <v>5</v>
      </c>
      <c r="G1" s="107" t="s">
        <v>3</v>
      </c>
    </row>
    <row r="2" spans="1:13" s="2" customFormat="1" ht="13.5" thickBot="1">
      <c r="A2" s="95" t="s">
        <v>0</v>
      </c>
      <c r="B2" s="110"/>
      <c r="C2" s="112"/>
      <c r="D2" s="112"/>
      <c r="E2" s="112"/>
      <c r="F2" s="106"/>
      <c r="G2" s="108"/>
      <c r="J2" s="1"/>
      <c r="M2" s="1"/>
    </row>
    <row r="3" spans="1:7" s="3" customFormat="1" ht="13.5" thickTop="1">
      <c r="A3" s="57" t="s">
        <v>7</v>
      </c>
      <c r="B3" s="59">
        <f>B4+B5</f>
        <v>67</v>
      </c>
      <c r="C3" s="21">
        <f>C4+C5</f>
        <v>128</v>
      </c>
      <c r="D3" s="21">
        <f>D4+D5</f>
        <v>175</v>
      </c>
      <c r="E3" s="21">
        <f>E4+E5</f>
        <v>258</v>
      </c>
      <c r="F3" s="20">
        <f>F4+F5</f>
        <v>216</v>
      </c>
      <c r="G3" s="67">
        <f aca="true" t="shared" si="0" ref="G3:G23">SUM(B3:F3)</f>
        <v>844</v>
      </c>
    </row>
    <row r="4" spans="1:7" ht="12.75">
      <c r="A4" s="58" t="s">
        <v>1</v>
      </c>
      <c r="B4" s="25">
        <v>31</v>
      </c>
      <c r="C4" s="23">
        <v>51</v>
      </c>
      <c r="D4" s="42">
        <v>64</v>
      </c>
      <c r="E4" s="23">
        <f>72+14</f>
        <v>86</v>
      </c>
      <c r="F4" s="60">
        <f>39+20</f>
        <v>59</v>
      </c>
      <c r="G4" s="68">
        <f t="shared" si="0"/>
        <v>291</v>
      </c>
    </row>
    <row r="5" spans="1:7" ht="13.5" thickBot="1">
      <c r="A5" s="61" t="s">
        <v>2</v>
      </c>
      <c r="B5" s="62">
        <v>36</v>
      </c>
      <c r="C5" s="49">
        <v>77</v>
      </c>
      <c r="D5" s="50">
        <v>111</v>
      </c>
      <c r="E5" s="49">
        <f>144+28</f>
        <v>172</v>
      </c>
      <c r="F5" s="63">
        <f>101+56</f>
        <v>157</v>
      </c>
      <c r="G5" s="69">
        <f t="shared" si="0"/>
        <v>553</v>
      </c>
    </row>
    <row r="6" spans="1:7" s="3" customFormat="1" ht="12.75">
      <c r="A6" s="57" t="s">
        <v>9</v>
      </c>
      <c r="B6" s="59">
        <f>B7+B8</f>
        <v>54</v>
      </c>
      <c r="C6" s="21">
        <f>C7+C8</f>
        <v>122</v>
      </c>
      <c r="D6" s="21">
        <f>D7+D8</f>
        <v>143</v>
      </c>
      <c r="E6" s="21">
        <f>E7+E8</f>
        <v>137</v>
      </c>
      <c r="F6" s="20">
        <f>F7+F8</f>
        <v>132</v>
      </c>
      <c r="G6" s="67">
        <f t="shared" si="0"/>
        <v>588</v>
      </c>
    </row>
    <row r="7" spans="1:7" ht="12.75">
      <c r="A7" s="58" t="s">
        <v>1</v>
      </c>
      <c r="B7" s="25">
        <v>22</v>
      </c>
      <c r="C7" s="23">
        <v>42</v>
      </c>
      <c r="D7" s="42">
        <v>61</v>
      </c>
      <c r="E7" s="23">
        <f>65+5</f>
        <v>70</v>
      </c>
      <c r="F7" s="60">
        <f>42+15</f>
        <v>57</v>
      </c>
      <c r="G7" s="68">
        <f t="shared" si="0"/>
        <v>252</v>
      </c>
    </row>
    <row r="8" spans="1:7" ht="13.5" thickBot="1">
      <c r="A8" s="61" t="s">
        <v>2</v>
      </c>
      <c r="B8" s="62">
        <v>32</v>
      </c>
      <c r="C8" s="49">
        <v>80</v>
      </c>
      <c r="D8" s="50">
        <v>82</v>
      </c>
      <c r="E8" s="49">
        <f>57+10</f>
        <v>67</v>
      </c>
      <c r="F8" s="63">
        <f>54+21</f>
        <v>75</v>
      </c>
      <c r="G8" s="69">
        <f t="shared" si="0"/>
        <v>336</v>
      </c>
    </row>
    <row r="9" spans="1:7" s="3" customFormat="1" ht="12.75">
      <c r="A9" s="57" t="s">
        <v>12</v>
      </c>
      <c r="B9" s="59">
        <f>B10+B11</f>
        <v>83</v>
      </c>
      <c r="C9" s="21">
        <f>C10+C11</f>
        <v>253</v>
      </c>
      <c r="D9" s="21">
        <f>D10+D11</f>
        <v>327</v>
      </c>
      <c r="E9" s="21">
        <f>E10+E11</f>
        <v>542</v>
      </c>
      <c r="F9" s="20">
        <f>F10+F11</f>
        <v>282</v>
      </c>
      <c r="G9" s="67">
        <f t="shared" si="0"/>
        <v>1487</v>
      </c>
    </row>
    <row r="10" spans="1:7" ht="12.75">
      <c r="A10" s="58" t="s">
        <v>1</v>
      </c>
      <c r="B10" s="25">
        <v>44</v>
      </c>
      <c r="C10" s="23">
        <v>168</v>
      </c>
      <c r="D10" s="42">
        <v>211</v>
      </c>
      <c r="E10" s="23">
        <f>179+125</f>
        <v>304</v>
      </c>
      <c r="F10" s="60">
        <f>54+115</f>
        <v>169</v>
      </c>
      <c r="G10" s="68">
        <f t="shared" si="0"/>
        <v>896</v>
      </c>
    </row>
    <row r="11" spans="1:7" ht="13.5" thickBot="1">
      <c r="A11" s="61" t="s">
        <v>2</v>
      </c>
      <c r="B11" s="62">
        <v>39</v>
      </c>
      <c r="C11" s="49">
        <v>85</v>
      </c>
      <c r="D11" s="50">
        <v>116</v>
      </c>
      <c r="E11" s="49">
        <f>78+160</f>
        <v>238</v>
      </c>
      <c r="F11" s="63">
        <f>47+66</f>
        <v>113</v>
      </c>
      <c r="G11" s="69">
        <f t="shared" si="0"/>
        <v>591</v>
      </c>
    </row>
    <row r="12" spans="1:7" s="3" customFormat="1" ht="12.75">
      <c r="A12" s="57" t="s">
        <v>37</v>
      </c>
      <c r="B12" s="59">
        <f>B13+B14</f>
        <v>20</v>
      </c>
      <c r="C12" s="21">
        <f>C13+C14</f>
        <v>33</v>
      </c>
      <c r="D12" s="21">
        <f>D13+D14</f>
        <v>53</v>
      </c>
      <c r="E12" s="21">
        <f>E13+E14</f>
        <v>80</v>
      </c>
      <c r="F12" s="20">
        <f>F13+F14</f>
        <v>156</v>
      </c>
      <c r="G12" s="67">
        <f t="shared" si="0"/>
        <v>342</v>
      </c>
    </row>
    <row r="13" spans="1:7" ht="12.75">
      <c r="A13" s="58" t="s">
        <v>1</v>
      </c>
      <c r="B13" s="25">
        <v>18</v>
      </c>
      <c r="C13" s="23">
        <v>27</v>
      </c>
      <c r="D13" s="42">
        <v>45</v>
      </c>
      <c r="E13" s="23">
        <f>50+16</f>
        <v>66</v>
      </c>
      <c r="F13" s="60">
        <f>70+61</f>
        <v>131</v>
      </c>
      <c r="G13" s="68">
        <f t="shared" si="0"/>
        <v>287</v>
      </c>
    </row>
    <row r="14" spans="1:7" ht="13.5" thickBot="1">
      <c r="A14" s="61" t="s">
        <v>2</v>
      </c>
      <c r="B14" s="62">
        <v>2</v>
      </c>
      <c r="C14" s="49">
        <v>6</v>
      </c>
      <c r="D14" s="50">
        <v>8</v>
      </c>
      <c r="E14" s="49">
        <f>11+3</f>
        <v>14</v>
      </c>
      <c r="F14" s="63">
        <f>11+14</f>
        <v>25</v>
      </c>
      <c r="G14" s="69">
        <f t="shared" si="0"/>
        <v>55</v>
      </c>
    </row>
    <row r="15" spans="1:7" s="3" customFormat="1" ht="12.75">
      <c r="A15" s="57" t="s">
        <v>28</v>
      </c>
      <c r="B15" s="59">
        <f>B16+B17</f>
        <v>276</v>
      </c>
      <c r="C15" s="21">
        <f>C16+C17</f>
        <v>405</v>
      </c>
      <c r="D15" s="21">
        <f>D16+D17</f>
        <v>485</v>
      </c>
      <c r="E15" s="21">
        <f>E16+E17</f>
        <v>952</v>
      </c>
      <c r="F15" s="20">
        <f>F16+F17</f>
        <v>772</v>
      </c>
      <c r="G15" s="67">
        <f t="shared" si="0"/>
        <v>2890</v>
      </c>
    </row>
    <row r="16" spans="1:7" ht="12.75">
      <c r="A16" s="58" t="s">
        <v>1</v>
      </c>
      <c r="B16" s="25">
        <v>147</v>
      </c>
      <c r="C16" s="23">
        <v>182</v>
      </c>
      <c r="D16" s="42">
        <v>217</v>
      </c>
      <c r="E16" s="23">
        <f>196+229</f>
        <v>425</v>
      </c>
      <c r="F16" s="60">
        <f>140+221</f>
        <v>361</v>
      </c>
      <c r="G16" s="68">
        <f t="shared" si="0"/>
        <v>1332</v>
      </c>
    </row>
    <row r="17" spans="1:7" ht="13.5" thickBot="1">
      <c r="A17" s="61" t="s">
        <v>2</v>
      </c>
      <c r="B17" s="62">
        <v>129</v>
      </c>
      <c r="C17" s="49">
        <v>223</v>
      </c>
      <c r="D17" s="50">
        <v>268</v>
      </c>
      <c r="E17" s="49">
        <f>269+258</f>
        <v>527</v>
      </c>
      <c r="F17" s="63">
        <f>149+262</f>
        <v>411</v>
      </c>
      <c r="G17" s="69">
        <f t="shared" si="0"/>
        <v>1558</v>
      </c>
    </row>
    <row r="18" spans="1:7" s="3" customFormat="1" ht="12.75">
      <c r="A18" s="57" t="s">
        <v>30</v>
      </c>
      <c r="B18" s="59">
        <f>B19+B20</f>
        <v>185</v>
      </c>
      <c r="C18" s="21">
        <f>C19+C20</f>
        <v>323</v>
      </c>
      <c r="D18" s="21">
        <f>D19+D20</f>
        <v>432</v>
      </c>
      <c r="E18" s="21">
        <f>E19+E20</f>
        <v>1060</v>
      </c>
      <c r="F18" s="20">
        <f>F19+F20</f>
        <v>868</v>
      </c>
      <c r="G18" s="67">
        <f t="shared" si="0"/>
        <v>2868</v>
      </c>
    </row>
    <row r="19" spans="1:7" ht="12.75">
      <c r="A19" s="58" t="s">
        <v>1</v>
      </c>
      <c r="B19" s="25">
        <v>86</v>
      </c>
      <c r="C19" s="23">
        <v>164</v>
      </c>
      <c r="D19" s="42">
        <v>226</v>
      </c>
      <c r="E19" s="23">
        <f>309+221</f>
        <v>530</v>
      </c>
      <c r="F19" s="60">
        <f>132+287</f>
        <v>419</v>
      </c>
      <c r="G19" s="68">
        <f t="shared" si="0"/>
        <v>1425</v>
      </c>
    </row>
    <row r="20" spans="1:7" ht="13.5" thickBot="1">
      <c r="A20" s="61" t="s">
        <v>2</v>
      </c>
      <c r="B20" s="62">
        <v>99</v>
      </c>
      <c r="C20" s="49">
        <v>159</v>
      </c>
      <c r="D20" s="50">
        <v>206</v>
      </c>
      <c r="E20" s="49">
        <f>301+229</f>
        <v>530</v>
      </c>
      <c r="F20" s="63">
        <f>108+341</f>
        <v>449</v>
      </c>
      <c r="G20" s="69">
        <f t="shared" si="0"/>
        <v>1443</v>
      </c>
    </row>
    <row r="21" spans="1:7" s="3" customFormat="1" ht="12.75">
      <c r="A21" s="57" t="s">
        <v>38</v>
      </c>
      <c r="B21" s="59">
        <f>B22+B23</f>
        <v>0</v>
      </c>
      <c r="C21" s="21">
        <f>C22+C23</f>
        <v>0</v>
      </c>
      <c r="D21" s="21">
        <f>D22+D23</f>
        <v>0</v>
      </c>
      <c r="E21" s="21">
        <f>E22+E23</f>
        <v>0</v>
      </c>
      <c r="F21" s="20">
        <f>F22+F23</f>
        <v>0</v>
      </c>
      <c r="G21" s="67">
        <f t="shared" si="0"/>
        <v>0</v>
      </c>
    </row>
    <row r="22" spans="1:7" ht="12.75">
      <c r="A22" s="58" t="s">
        <v>1</v>
      </c>
      <c r="B22" s="25">
        <v>0</v>
      </c>
      <c r="C22" s="23">
        <v>0</v>
      </c>
      <c r="D22" s="42">
        <v>0</v>
      </c>
      <c r="E22" s="42">
        <v>0</v>
      </c>
      <c r="F22" s="35">
        <v>0</v>
      </c>
      <c r="G22" s="68">
        <f t="shared" si="0"/>
        <v>0</v>
      </c>
    </row>
    <row r="23" spans="1:7" ht="12.75">
      <c r="A23" s="58" t="s">
        <v>2</v>
      </c>
      <c r="B23" s="25">
        <v>0</v>
      </c>
      <c r="C23" s="23">
        <v>0</v>
      </c>
      <c r="D23" s="42">
        <v>0</v>
      </c>
      <c r="E23" s="42">
        <v>0</v>
      </c>
      <c r="F23" s="35">
        <v>0</v>
      </c>
      <c r="G23" s="68">
        <f t="shared" si="0"/>
        <v>0</v>
      </c>
    </row>
  </sheetData>
  <sheetProtection password="E889" sheet="1" objects="1" scenarios="1"/>
  <mergeCells count="6">
    <mergeCell ref="F1:F2"/>
    <mergeCell ref="G1:G2"/>
    <mergeCell ref="B1:B2"/>
    <mergeCell ref="C1:C2"/>
    <mergeCell ref="D1:D2"/>
    <mergeCell ref="E1:E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4" customWidth="1"/>
    <col min="5" max="6" width="9.140625" style="31" customWidth="1"/>
    <col min="7" max="7" width="9.140625" style="56" customWidth="1"/>
    <col min="10" max="10" width="9.140625" style="3" customWidth="1"/>
    <col min="13" max="13" width="9.140625" style="3" customWidth="1"/>
  </cols>
  <sheetData>
    <row r="1" spans="1:7" s="38" customFormat="1" ht="15">
      <c r="A1" s="70">
        <v>38473</v>
      </c>
      <c r="B1" s="109">
        <v>1</v>
      </c>
      <c r="C1" s="109">
        <v>2</v>
      </c>
      <c r="D1" s="109">
        <v>3</v>
      </c>
      <c r="E1" s="109">
        <v>4</v>
      </c>
      <c r="F1" s="109">
        <v>5</v>
      </c>
      <c r="G1" s="107" t="s">
        <v>3</v>
      </c>
    </row>
    <row r="2" spans="1:13" s="2" customFormat="1" ht="13.5" thickBot="1">
      <c r="A2" s="95" t="s">
        <v>0</v>
      </c>
      <c r="B2" s="110"/>
      <c r="C2" s="110"/>
      <c r="D2" s="110"/>
      <c r="E2" s="110"/>
      <c r="F2" s="110"/>
      <c r="G2" s="108"/>
      <c r="J2" s="1"/>
      <c r="M2" s="1"/>
    </row>
    <row r="3" spans="1:7" s="3" customFormat="1" ht="13.5" thickTop="1">
      <c r="A3" s="57" t="s">
        <v>7</v>
      </c>
      <c r="B3" s="59">
        <f>B4+B5</f>
        <v>70</v>
      </c>
      <c r="C3" s="21">
        <f>C4+C5</f>
        <v>146</v>
      </c>
      <c r="D3" s="21">
        <f>D4+D5</f>
        <v>206</v>
      </c>
      <c r="E3" s="21">
        <f>E4+E5</f>
        <v>309</v>
      </c>
      <c r="F3" s="20">
        <f>F4+F5</f>
        <v>247</v>
      </c>
      <c r="G3" s="67">
        <f aca="true" t="shared" si="0" ref="G3:G23">SUM(B3:F3)</f>
        <v>978</v>
      </c>
    </row>
    <row r="4" spans="1:7" ht="12.75">
      <c r="A4" s="58" t="s">
        <v>1</v>
      </c>
      <c r="B4" s="25">
        <v>24</v>
      </c>
      <c r="C4" s="23">
        <v>53</v>
      </c>
      <c r="D4" s="42">
        <v>78</v>
      </c>
      <c r="E4" s="23">
        <f>88+14</f>
        <v>102</v>
      </c>
      <c r="F4" s="60">
        <f>48+26</f>
        <v>74</v>
      </c>
      <c r="G4" s="68">
        <f t="shared" si="0"/>
        <v>331</v>
      </c>
    </row>
    <row r="5" spans="1:7" ht="13.5" thickBot="1">
      <c r="A5" s="61" t="s">
        <v>2</v>
      </c>
      <c r="B5" s="62">
        <v>46</v>
      </c>
      <c r="C5" s="49">
        <v>93</v>
      </c>
      <c r="D5" s="50">
        <v>128</v>
      </c>
      <c r="E5" s="49">
        <f>166+41</f>
        <v>207</v>
      </c>
      <c r="F5" s="63">
        <f>110+63</f>
        <v>173</v>
      </c>
      <c r="G5" s="69">
        <f t="shared" si="0"/>
        <v>647</v>
      </c>
    </row>
    <row r="6" spans="1:7" s="3" customFormat="1" ht="12.75">
      <c r="A6" s="57" t="s">
        <v>9</v>
      </c>
      <c r="B6" s="59">
        <f>B7+B8</f>
        <v>74</v>
      </c>
      <c r="C6" s="21">
        <f>C7+C8</f>
        <v>140</v>
      </c>
      <c r="D6" s="21">
        <f>D7+D8</f>
        <v>136</v>
      </c>
      <c r="E6" s="21">
        <f>E7+E8</f>
        <v>141</v>
      </c>
      <c r="F6" s="20">
        <f>F7+F8</f>
        <v>174</v>
      </c>
      <c r="G6" s="67">
        <f t="shared" si="0"/>
        <v>665</v>
      </c>
    </row>
    <row r="7" spans="1:7" ht="12.75">
      <c r="A7" s="58" t="s">
        <v>1</v>
      </c>
      <c r="B7" s="25">
        <v>48</v>
      </c>
      <c r="C7" s="23">
        <v>56</v>
      </c>
      <c r="D7" s="42">
        <v>63</v>
      </c>
      <c r="E7" s="23">
        <f>64+3</f>
        <v>67</v>
      </c>
      <c r="F7" s="60">
        <f>65+16</f>
        <v>81</v>
      </c>
      <c r="G7" s="68">
        <f t="shared" si="0"/>
        <v>315</v>
      </c>
    </row>
    <row r="8" spans="1:7" ht="13.5" thickBot="1">
      <c r="A8" s="61" t="s">
        <v>2</v>
      </c>
      <c r="B8" s="62">
        <v>26</v>
      </c>
      <c r="C8" s="49">
        <v>84</v>
      </c>
      <c r="D8" s="50">
        <v>73</v>
      </c>
      <c r="E8" s="49">
        <f>69+5</f>
        <v>74</v>
      </c>
      <c r="F8" s="63">
        <f>79+14</f>
        <v>93</v>
      </c>
      <c r="G8" s="69">
        <f t="shared" si="0"/>
        <v>350</v>
      </c>
    </row>
    <row r="9" spans="1:7" s="3" customFormat="1" ht="12.75">
      <c r="A9" s="57" t="s">
        <v>12</v>
      </c>
      <c r="B9" s="59">
        <f>B10+B11</f>
        <v>61</v>
      </c>
      <c r="C9" s="21">
        <f>C10+C11</f>
        <v>205</v>
      </c>
      <c r="D9" s="21">
        <f>D10+D11</f>
        <v>276</v>
      </c>
      <c r="E9" s="21">
        <f>E10+E11</f>
        <v>428</v>
      </c>
      <c r="F9" s="20">
        <f>F10+F11</f>
        <v>263</v>
      </c>
      <c r="G9" s="67">
        <f t="shared" si="0"/>
        <v>1233</v>
      </c>
    </row>
    <row r="10" spans="1:7" ht="12.75">
      <c r="A10" s="58" t="s">
        <v>1</v>
      </c>
      <c r="B10" s="25">
        <v>46</v>
      </c>
      <c r="C10" s="23">
        <v>133</v>
      </c>
      <c r="D10" s="42">
        <v>188</v>
      </c>
      <c r="E10" s="23">
        <f>151+105</f>
        <v>256</v>
      </c>
      <c r="F10" s="60">
        <f>69+98</f>
        <v>167</v>
      </c>
      <c r="G10" s="68">
        <f t="shared" si="0"/>
        <v>790</v>
      </c>
    </row>
    <row r="11" spans="1:7" ht="13.5" thickBot="1">
      <c r="A11" s="61" t="s">
        <v>2</v>
      </c>
      <c r="B11" s="62">
        <v>15</v>
      </c>
      <c r="C11" s="49">
        <v>72</v>
      </c>
      <c r="D11" s="50">
        <v>88</v>
      </c>
      <c r="E11" s="49">
        <f>97+75</f>
        <v>172</v>
      </c>
      <c r="F11" s="63">
        <f>38+58</f>
        <v>96</v>
      </c>
      <c r="G11" s="69">
        <f t="shared" si="0"/>
        <v>443</v>
      </c>
    </row>
    <row r="12" spans="1:7" s="3" customFormat="1" ht="12.75">
      <c r="A12" s="57" t="s">
        <v>37</v>
      </c>
      <c r="B12" s="59">
        <f>B13+B14</f>
        <v>26</v>
      </c>
      <c r="C12" s="21">
        <f>C13+C14</f>
        <v>59</v>
      </c>
      <c r="D12" s="21">
        <f>D13+D14</f>
        <v>110</v>
      </c>
      <c r="E12" s="21">
        <f>E13+E14</f>
        <v>84</v>
      </c>
      <c r="F12" s="20">
        <f>F13+F14</f>
        <v>121</v>
      </c>
      <c r="G12" s="67">
        <f t="shared" si="0"/>
        <v>400</v>
      </c>
    </row>
    <row r="13" spans="1:7" ht="12.75">
      <c r="A13" s="58" t="s">
        <v>1</v>
      </c>
      <c r="B13" s="25">
        <v>23</v>
      </c>
      <c r="C13" s="23">
        <v>53</v>
      </c>
      <c r="D13" s="42">
        <v>99</v>
      </c>
      <c r="E13" s="23">
        <f>47+29</f>
        <v>76</v>
      </c>
      <c r="F13" s="60">
        <f>29+76</f>
        <v>105</v>
      </c>
      <c r="G13" s="68">
        <f t="shared" si="0"/>
        <v>356</v>
      </c>
    </row>
    <row r="14" spans="1:7" ht="13.5" thickBot="1">
      <c r="A14" s="61" t="s">
        <v>2</v>
      </c>
      <c r="B14" s="62">
        <v>3</v>
      </c>
      <c r="C14" s="49">
        <v>6</v>
      </c>
      <c r="D14" s="50">
        <v>11</v>
      </c>
      <c r="E14" s="49">
        <f>7+1</f>
        <v>8</v>
      </c>
      <c r="F14" s="63">
        <f>12+4</f>
        <v>16</v>
      </c>
      <c r="G14" s="69">
        <f t="shared" si="0"/>
        <v>44</v>
      </c>
    </row>
    <row r="15" spans="1:7" s="3" customFormat="1" ht="12.75">
      <c r="A15" s="57" t="s">
        <v>28</v>
      </c>
      <c r="B15" s="59">
        <f>B16+B17</f>
        <v>305</v>
      </c>
      <c r="C15" s="21">
        <f>C16+C17</f>
        <v>407</v>
      </c>
      <c r="D15" s="21">
        <f>D16+D17</f>
        <v>520</v>
      </c>
      <c r="E15" s="21">
        <f>E16+E17</f>
        <v>760</v>
      </c>
      <c r="F15" s="20">
        <f>F16+F17</f>
        <v>1050</v>
      </c>
      <c r="G15" s="67">
        <f t="shared" si="0"/>
        <v>3042</v>
      </c>
    </row>
    <row r="16" spans="1:7" ht="12.75">
      <c r="A16" s="58" t="s">
        <v>1</v>
      </c>
      <c r="B16" s="25">
        <v>187</v>
      </c>
      <c r="C16" s="23">
        <v>194</v>
      </c>
      <c r="D16" s="42">
        <v>213</v>
      </c>
      <c r="E16" s="23">
        <f>174+188</f>
        <v>362</v>
      </c>
      <c r="F16" s="60">
        <f>170+317</f>
        <v>487</v>
      </c>
      <c r="G16" s="68">
        <f t="shared" si="0"/>
        <v>1443</v>
      </c>
    </row>
    <row r="17" spans="1:7" ht="13.5" thickBot="1">
      <c r="A17" s="61" t="s">
        <v>2</v>
      </c>
      <c r="B17" s="62">
        <v>118</v>
      </c>
      <c r="C17" s="49">
        <v>213</v>
      </c>
      <c r="D17" s="50">
        <v>307</v>
      </c>
      <c r="E17" s="49">
        <f>230+168</f>
        <v>398</v>
      </c>
      <c r="F17" s="63">
        <f>234+329</f>
        <v>563</v>
      </c>
      <c r="G17" s="69">
        <f t="shared" si="0"/>
        <v>1599</v>
      </c>
    </row>
    <row r="18" spans="1:7" s="3" customFormat="1" ht="12.75">
      <c r="A18" s="57" t="s">
        <v>30</v>
      </c>
      <c r="B18" s="59">
        <f>B19+B20</f>
        <v>200</v>
      </c>
      <c r="C18" s="21">
        <f>C19+C20</f>
        <v>308</v>
      </c>
      <c r="D18" s="21">
        <f>D19+D20</f>
        <v>435</v>
      </c>
      <c r="E18" s="21">
        <f>E19+E20</f>
        <v>1058</v>
      </c>
      <c r="F18" s="20">
        <f>F19+F20</f>
        <v>810</v>
      </c>
      <c r="G18" s="67">
        <f t="shared" si="0"/>
        <v>2811</v>
      </c>
    </row>
    <row r="19" spans="1:7" ht="12.75">
      <c r="A19" s="58" t="s">
        <v>1</v>
      </c>
      <c r="B19" s="25">
        <v>93</v>
      </c>
      <c r="C19" s="23">
        <v>153</v>
      </c>
      <c r="D19" s="42">
        <v>220</v>
      </c>
      <c r="E19" s="23">
        <f>390+138</f>
        <v>528</v>
      </c>
      <c r="F19" s="60">
        <f>128+269</f>
        <v>397</v>
      </c>
      <c r="G19" s="68">
        <f t="shared" si="0"/>
        <v>1391</v>
      </c>
    </row>
    <row r="20" spans="1:7" ht="13.5" thickBot="1">
      <c r="A20" s="61" t="s">
        <v>2</v>
      </c>
      <c r="B20" s="62">
        <v>107</v>
      </c>
      <c r="C20" s="49">
        <v>155</v>
      </c>
      <c r="D20" s="50">
        <v>215</v>
      </c>
      <c r="E20" s="49">
        <f>365+165</f>
        <v>530</v>
      </c>
      <c r="F20" s="63">
        <f>100+313</f>
        <v>413</v>
      </c>
      <c r="G20" s="69">
        <f t="shared" si="0"/>
        <v>1420</v>
      </c>
    </row>
    <row r="21" spans="1:7" s="3" customFormat="1" ht="12.75">
      <c r="A21" s="57" t="s">
        <v>38</v>
      </c>
      <c r="B21" s="59">
        <f>B22+B23</f>
        <v>0</v>
      </c>
      <c r="C21" s="21">
        <f>C22+C23</f>
        <v>0</v>
      </c>
      <c r="D21" s="21">
        <f>D22+D23</f>
        <v>0</v>
      </c>
      <c r="E21" s="21">
        <f>E22+E23</f>
        <v>0</v>
      </c>
      <c r="F21" s="20">
        <f>F22+F23</f>
        <v>1</v>
      </c>
      <c r="G21" s="67">
        <f t="shared" si="0"/>
        <v>1</v>
      </c>
    </row>
    <row r="22" spans="1:7" ht="12.75">
      <c r="A22" s="58" t="s">
        <v>1</v>
      </c>
      <c r="B22" s="25">
        <v>0</v>
      </c>
      <c r="C22" s="23">
        <v>0</v>
      </c>
      <c r="D22" s="42">
        <v>0</v>
      </c>
      <c r="E22" s="42">
        <v>0</v>
      </c>
      <c r="F22" s="35">
        <f>0+1</f>
        <v>1</v>
      </c>
      <c r="G22" s="68">
        <f t="shared" si="0"/>
        <v>1</v>
      </c>
    </row>
    <row r="23" spans="1:7" ht="12.75">
      <c r="A23" s="58" t="s">
        <v>2</v>
      </c>
      <c r="B23" s="25">
        <v>0</v>
      </c>
      <c r="C23" s="23">
        <v>0</v>
      </c>
      <c r="D23" s="42">
        <v>0</v>
      </c>
      <c r="E23" s="42">
        <v>0</v>
      </c>
      <c r="F23" s="35">
        <v>0</v>
      </c>
      <c r="G23" s="68">
        <f t="shared" si="0"/>
        <v>0</v>
      </c>
    </row>
  </sheetData>
  <sheetProtection password="E889" sheet="1" objects="1" scenarios="1"/>
  <mergeCells count="6">
    <mergeCell ref="F1:F2"/>
    <mergeCell ref="G1:G2"/>
    <mergeCell ref="B1:B2"/>
    <mergeCell ref="C1:C2"/>
    <mergeCell ref="D1:D2"/>
    <mergeCell ref="E1:E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5.7109375" style="0" customWidth="1"/>
    <col min="2" max="3" width="9.140625" style="31" customWidth="1"/>
    <col min="4" max="4" width="9.140625" style="32" customWidth="1"/>
    <col min="5" max="6" width="9.140625" style="31" customWidth="1"/>
    <col min="7" max="7" width="9.140625" style="32" customWidth="1"/>
    <col min="8" max="9" width="9.140625" style="31" customWidth="1"/>
    <col min="10" max="10" width="9.140625" style="32" customWidth="1"/>
    <col min="11" max="12" width="9.140625" style="31" customWidth="1"/>
    <col min="13" max="13" width="9.140625" style="32" customWidth="1"/>
    <col min="14" max="15" width="9.140625" style="31" customWidth="1"/>
    <col min="16" max="16" width="9.140625" style="32" customWidth="1"/>
    <col min="17" max="17" width="12.421875" style="31" customWidth="1"/>
  </cols>
  <sheetData>
    <row r="1" spans="1:17" s="1" customFormat="1" ht="15">
      <c r="A1" s="92" t="s">
        <v>41</v>
      </c>
      <c r="B1" s="102">
        <v>37012</v>
      </c>
      <c r="C1" s="103"/>
      <c r="D1" s="104"/>
      <c r="E1" s="102">
        <v>37377</v>
      </c>
      <c r="F1" s="103"/>
      <c r="G1" s="104"/>
      <c r="H1" s="102">
        <v>37742</v>
      </c>
      <c r="I1" s="103"/>
      <c r="J1" s="104"/>
      <c r="K1" s="102">
        <v>38108</v>
      </c>
      <c r="L1" s="103"/>
      <c r="M1" s="104"/>
      <c r="N1" s="102">
        <v>38473</v>
      </c>
      <c r="O1" s="113"/>
      <c r="P1" s="114"/>
      <c r="Q1" s="39"/>
    </row>
    <row r="2" spans="1:17" s="2" customFormat="1" ht="13.5" thickBot="1">
      <c r="A2" s="100" t="s">
        <v>0</v>
      </c>
      <c r="B2" s="10" t="s">
        <v>1</v>
      </c>
      <c r="C2" s="11" t="s">
        <v>2</v>
      </c>
      <c r="D2" s="14" t="s">
        <v>3</v>
      </c>
      <c r="E2" s="10" t="s">
        <v>1</v>
      </c>
      <c r="F2" s="11" t="s">
        <v>2</v>
      </c>
      <c r="G2" s="14" t="s">
        <v>3</v>
      </c>
      <c r="H2" s="10" t="s">
        <v>1</v>
      </c>
      <c r="I2" s="11" t="s">
        <v>2</v>
      </c>
      <c r="J2" s="14" t="s">
        <v>3</v>
      </c>
      <c r="K2" s="10" t="s">
        <v>1</v>
      </c>
      <c r="L2" s="11" t="s">
        <v>2</v>
      </c>
      <c r="M2" s="14" t="s">
        <v>3</v>
      </c>
      <c r="N2" s="10" t="s">
        <v>1</v>
      </c>
      <c r="O2" s="11" t="s">
        <v>2</v>
      </c>
      <c r="P2" s="15" t="s">
        <v>3</v>
      </c>
      <c r="Q2" s="40"/>
    </row>
    <row r="3" spans="1:17" ht="13.5" thickTop="1">
      <c r="A3" s="9" t="s">
        <v>7</v>
      </c>
      <c r="B3" s="16">
        <f>'[1]Results May01'!G4</f>
        <v>269</v>
      </c>
      <c r="C3" s="17">
        <f>'[1]Results May01'!G5</f>
        <v>358</v>
      </c>
      <c r="D3" s="20">
        <f aca="true" t="shared" si="0" ref="D3:D9">B3+C3</f>
        <v>627</v>
      </c>
      <c r="E3" s="16">
        <f>'[1]Results May02'!G4</f>
        <v>267</v>
      </c>
      <c r="F3" s="17">
        <f>'[1]Results May02'!G5</f>
        <v>501</v>
      </c>
      <c r="G3" s="20">
        <f aca="true" t="shared" si="1" ref="G3:G9">E3+F3</f>
        <v>768</v>
      </c>
      <c r="H3" s="16">
        <f>'[1]Results May03'!G4</f>
        <v>297</v>
      </c>
      <c r="I3" s="17">
        <f>'[1]Results May03'!G5</f>
        <v>575</v>
      </c>
      <c r="J3" s="20">
        <f aca="true" t="shared" si="2" ref="J3:J9">H3+I3</f>
        <v>872</v>
      </c>
      <c r="K3" s="16">
        <f>'[1]Results May04'!G4</f>
        <v>291</v>
      </c>
      <c r="L3" s="17">
        <f>'[1]Results May04'!G5</f>
        <v>553</v>
      </c>
      <c r="M3" s="20">
        <f aca="true" t="shared" si="3" ref="M3:M9">K3+L3</f>
        <v>844</v>
      </c>
      <c r="N3" s="16">
        <f>'[1]Results May05'!G4</f>
        <v>331</v>
      </c>
      <c r="O3" s="17">
        <f>'[1]Results May05'!G5</f>
        <v>647</v>
      </c>
      <c r="P3" s="21">
        <f aca="true" t="shared" si="4" ref="P3:P9">N3+O3</f>
        <v>978</v>
      </c>
      <c r="Q3" s="41"/>
    </row>
    <row r="4" spans="1:17" ht="12.75">
      <c r="A4" s="7" t="s">
        <v>9</v>
      </c>
      <c r="B4" s="22">
        <f>'[1]Results May01'!G7</f>
        <v>279</v>
      </c>
      <c r="C4" s="23">
        <f>'[1]Results May01'!G8</f>
        <v>289</v>
      </c>
      <c r="D4" s="26">
        <f t="shared" si="0"/>
        <v>568</v>
      </c>
      <c r="E4" s="22">
        <f>'[1]Results May02'!G7</f>
        <v>305</v>
      </c>
      <c r="F4" s="23">
        <f>'[1]Results May02'!G8</f>
        <v>297</v>
      </c>
      <c r="G4" s="26">
        <f t="shared" si="1"/>
        <v>602</v>
      </c>
      <c r="H4" s="22">
        <f>'[1]Results May03'!G7</f>
        <v>288</v>
      </c>
      <c r="I4" s="23">
        <f>'[1]Results May03'!G8</f>
        <v>330</v>
      </c>
      <c r="J4" s="26">
        <f t="shared" si="2"/>
        <v>618</v>
      </c>
      <c r="K4" s="22">
        <f>'[1]Results May04'!G7</f>
        <v>252</v>
      </c>
      <c r="L4" s="23">
        <f>'[1]Results May04'!G8</f>
        <v>336</v>
      </c>
      <c r="M4" s="26">
        <f t="shared" si="3"/>
        <v>588</v>
      </c>
      <c r="N4" s="22">
        <f>'[1]Results May05'!G7</f>
        <v>315</v>
      </c>
      <c r="O4" s="23">
        <f>'[1]Results May05'!G8</f>
        <v>350</v>
      </c>
      <c r="P4" s="27">
        <f t="shared" si="4"/>
        <v>665</v>
      </c>
      <c r="Q4" s="41"/>
    </row>
    <row r="5" spans="1:17" ht="12.75">
      <c r="A5" s="7" t="s">
        <v>12</v>
      </c>
      <c r="B5" s="22">
        <f>'[1]Results May01'!G10</f>
        <v>659</v>
      </c>
      <c r="C5" s="23">
        <f>'[1]Results May01'!G11</f>
        <v>456</v>
      </c>
      <c r="D5" s="26">
        <f t="shared" si="0"/>
        <v>1115</v>
      </c>
      <c r="E5" s="22">
        <f>'[1]Results May02'!G10</f>
        <v>779</v>
      </c>
      <c r="F5" s="23">
        <f>'[1]Results May02'!G11</f>
        <v>668</v>
      </c>
      <c r="G5" s="26">
        <f t="shared" si="1"/>
        <v>1447</v>
      </c>
      <c r="H5" s="22">
        <f>'[1]Results May03'!G10</f>
        <v>756</v>
      </c>
      <c r="I5" s="23">
        <f>'[1]Results May03'!G11</f>
        <v>511</v>
      </c>
      <c r="J5" s="26">
        <f t="shared" si="2"/>
        <v>1267</v>
      </c>
      <c r="K5" s="22">
        <f>'[1]Results May04'!G10</f>
        <v>896</v>
      </c>
      <c r="L5" s="23">
        <f>'[1]Results May04'!G11</f>
        <v>591</v>
      </c>
      <c r="M5" s="26">
        <f t="shared" si="3"/>
        <v>1487</v>
      </c>
      <c r="N5" s="22">
        <f>'[1]Results May05'!G10</f>
        <v>790</v>
      </c>
      <c r="O5" s="23">
        <f>'[1]Results May05'!G11</f>
        <v>443</v>
      </c>
      <c r="P5" s="27">
        <f t="shared" si="4"/>
        <v>1233</v>
      </c>
      <c r="Q5" s="41"/>
    </row>
    <row r="6" spans="1:17" ht="12.75">
      <c r="A6" s="7" t="s">
        <v>37</v>
      </c>
      <c r="B6" s="22">
        <f>'[1]Results May01'!G13</f>
        <v>261</v>
      </c>
      <c r="C6" s="23">
        <f>'[1]Results May01'!G14</f>
        <v>30</v>
      </c>
      <c r="D6" s="26">
        <f t="shared" si="0"/>
        <v>291</v>
      </c>
      <c r="E6" s="22">
        <f>'[1]Results May02'!G13</f>
        <v>380</v>
      </c>
      <c r="F6" s="23">
        <f>'[1]Results May02'!G14</f>
        <v>53</v>
      </c>
      <c r="G6" s="26">
        <f t="shared" si="1"/>
        <v>433</v>
      </c>
      <c r="H6" s="22">
        <f>'[1]Results May03'!G13</f>
        <v>313</v>
      </c>
      <c r="I6" s="23">
        <f>'[1]Results May03'!G14</f>
        <v>50</v>
      </c>
      <c r="J6" s="26">
        <f t="shared" si="2"/>
        <v>363</v>
      </c>
      <c r="K6" s="22">
        <f>'[1]Results May04'!G13</f>
        <v>287</v>
      </c>
      <c r="L6" s="23">
        <f>'[1]Results May04'!G14</f>
        <v>55</v>
      </c>
      <c r="M6" s="26">
        <f t="shared" si="3"/>
        <v>342</v>
      </c>
      <c r="N6" s="22">
        <f>'[1]Results May05'!G13</f>
        <v>356</v>
      </c>
      <c r="O6" s="23">
        <f>'[1]Results May05'!G14</f>
        <v>44</v>
      </c>
      <c r="P6" s="27">
        <f t="shared" si="4"/>
        <v>400</v>
      </c>
      <c r="Q6" s="41"/>
    </row>
    <row r="7" spans="1:17" ht="12.75">
      <c r="A7" s="7" t="s">
        <v>28</v>
      </c>
      <c r="B7" s="22">
        <f>'[1]Results May01'!G16</f>
        <v>1192</v>
      </c>
      <c r="C7" s="23">
        <f>'[1]Results May01'!G17</f>
        <v>1291</v>
      </c>
      <c r="D7" s="26">
        <f t="shared" si="0"/>
        <v>2483</v>
      </c>
      <c r="E7" s="22">
        <f>'[1]Results May02'!G16</f>
        <v>1317</v>
      </c>
      <c r="F7" s="23">
        <f>'[1]Results May02'!G17</f>
        <v>1482</v>
      </c>
      <c r="G7" s="26">
        <f t="shared" si="1"/>
        <v>2799</v>
      </c>
      <c r="H7" s="22">
        <f>'[1]Results May03'!G16</f>
        <v>1449</v>
      </c>
      <c r="I7" s="23">
        <f>'[1]Results May03'!G17</f>
        <v>1703</v>
      </c>
      <c r="J7" s="26">
        <f t="shared" si="2"/>
        <v>3152</v>
      </c>
      <c r="K7" s="22">
        <f>'[1]Results May04'!G16</f>
        <v>1332</v>
      </c>
      <c r="L7" s="23">
        <f>'[1]Results May04'!G17</f>
        <v>1558</v>
      </c>
      <c r="M7" s="26">
        <f t="shared" si="3"/>
        <v>2890</v>
      </c>
      <c r="N7" s="22">
        <f>'[1]Results May05'!G16</f>
        <v>1443</v>
      </c>
      <c r="O7" s="23">
        <f>'[1]Results May05'!G17</f>
        <v>1599</v>
      </c>
      <c r="P7" s="27">
        <f t="shared" si="4"/>
        <v>3042</v>
      </c>
      <c r="Q7" s="41"/>
    </row>
    <row r="8" spans="1:17" ht="12.75">
      <c r="A8" s="7" t="s">
        <v>30</v>
      </c>
      <c r="B8" s="22">
        <f>'[1]Results May01'!G19</f>
        <v>1194</v>
      </c>
      <c r="C8" s="23">
        <f>'[1]Results May01'!G20</f>
        <v>1323</v>
      </c>
      <c r="D8" s="26">
        <f t="shared" si="0"/>
        <v>2517</v>
      </c>
      <c r="E8" s="22">
        <f>'[1]Results May02'!G19</f>
        <v>1244</v>
      </c>
      <c r="F8" s="23">
        <f>'[1]Results May02'!G20</f>
        <v>1226</v>
      </c>
      <c r="G8" s="26">
        <f t="shared" si="1"/>
        <v>2470</v>
      </c>
      <c r="H8" s="22">
        <f>'[1]Results May03'!G19</f>
        <v>1354</v>
      </c>
      <c r="I8" s="23">
        <f>'[1]Results May03'!G20</f>
        <v>1429</v>
      </c>
      <c r="J8" s="26">
        <f t="shared" si="2"/>
        <v>2783</v>
      </c>
      <c r="K8" s="22">
        <f>'[1]Results May04'!G19</f>
        <v>1425</v>
      </c>
      <c r="L8" s="23">
        <f>'[1]Results May04'!G20</f>
        <v>1443</v>
      </c>
      <c r="M8" s="26">
        <f t="shared" si="3"/>
        <v>2868</v>
      </c>
      <c r="N8" s="22">
        <f>'[1]Results May05'!G19</f>
        <v>1391</v>
      </c>
      <c r="O8" s="23">
        <f>'[1]Results May05'!G20</f>
        <v>1420</v>
      </c>
      <c r="P8" s="27">
        <f t="shared" si="4"/>
        <v>2811</v>
      </c>
      <c r="Q8" s="41"/>
    </row>
    <row r="9" spans="1:17" ht="13.5" thickBot="1">
      <c r="A9" s="71" t="s">
        <v>38</v>
      </c>
      <c r="B9" s="72">
        <f>'[1]Results May01'!G22</f>
        <v>3</v>
      </c>
      <c r="C9" s="73">
        <f>'[1]Results May01'!G23</f>
        <v>0</v>
      </c>
      <c r="D9" s="76">
        <f t="shared" si="0"/>
        <v>3</v>
      </c>
      <c r="E9" s="72">
        <f>'[1]Results May02'!G22</f>
        <v>3</v>
      </c>
      <c r="F9" s="73">
        <f>'[1]Results May02'!G23</f>
        <v>0</v>
      </c>
      <c r="G9" s="76">
        <f t="shared" si="1"/>
        <v>3</v>
      </c>
      <c r="H9" s="72">
        <f>'[1]Results May03'!G22</f>
        <v>5</v>
      </c>
      <c r="I9" s="73">
        <f>'[1]Results May03'!G23</f>
        <v>0</v>
      </c>
      <c r="J9" s="76">
        <f t="shared" si="2"/>
        <v>5</v>
      </c>
      <c r="K9" s="72">
        <f>'[1]Results May04'!G22</f>
        <v>0</v>
      </c>
      <c r="L9" s="73">
        <f>'[1]Results May04'!G23</f>
        <v>0</v>
      </c>
      <c r="M9" s="76">
        <f t="shared" si="3"/>
        <v>0</v>
      </c>
      <c r="N9" s="72">
        <f>'[1]Results May05'!G22</f>
        <v>1</v>
      </c>
      <c r="O9" s="73">
        <f>'[1]Results May05'!G23</f>
        <v>0</v>
      </c>
      <c r="P9" s="96">
        <f t="shared" si="4"/>
        <v>1</v>
      </c>
      <c r="Q9" s="41"/>
    </row>
    <row r="10" spans="1:17" s="6" customFormat="1" ht="13.5" thickTop="1">
      <c r="A10" s="101" t="s">
        <v>3</v>
      </c>
      <c r="B10" s="97">
        <f aca="true" t="shared" si="5" ref="B10:P10">SUM(B3:B9)</f>
        <v>3857</v>
      </c>
      <c r="C10" s="98">
        <f t="shared" si="5"/>
        <v>3747</v>
      </c>
      <c r="D10" s="99">
        <f t="shared" si="5"/>
        <v>7604</v>
      </c>
      <c r="E10" s="97">
        <f t="shared" si="5"/>
        <v>4295</v>
      </c>
      <c r="F10" s="98">
        <f t="shared" si="5"/>
        <v>4227</v>
      </c>
      <c r="G10" s="99">
        <f t="shared" si="5"/>
        <v>8522</v>
      </c>
      <c r="H10" s="97">
        <f t="shared" si="5"/>
        <v>4462</v>
      </c>
      <c r="I10" s="98">
        <f t="shared" si="5"/>
        <v>4598</v>
      </c>
      <c r="J10" s="99">
        <f t="shared" si="5"/>
        <v>9060</v>
      </c>
      <c r="K10" s="97">
        <f t="shared" si="5"/>
        <v>4483</v>
      </c>
      <c r="L10" s="98">
        <f t="shared" si="5"/>
        <v>4536</v>
      </c>
      <c r="M10" s="99">
        <f t="shared" si="5"/>
        <v>9019</v>
      </c>
      <c r="N10" s="97">
        <f t="shared" si="5"/>
        <v>4627</v>
      </c>
      <c r="O10" s="98">
        <f t="shared" si="5"/>
        <v>4503</v>
      </c>
      <c r="P10" s="98">
        <f t="shared" si="5"/>
        <v>9130</v>
      </c>
      <c r="Q10" s="91"/>
    </row>
  </sheetData>
  <sheetProtection password="E889" sheet="1" objects="1" scenarios="1"/>
  <mergeCells count="5">
    <mergeCell ref="N1:P1"/>
    <mergeCell ref="B1:D1"/>
    <mergeCell ref="E1:G1"/>
    <mergeCell ref="H1:J1"/>
    <mergeCell ref="K1:M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Anne Gauci</dc:creator>
  <cp:keywords/>
  <dc:description/>
  <cp:lastModifiedBy>brisx001</cp:lastModifiedBy>
  <cp:lastPrinted>2007-05-27T19:57:37Z</cp:lastPrinted>
  <dcterms:created xsi:type="dcterms:W3CDTF">2007-05-27T18:42:33Z</dcterms:created>
  <dcterms:modified xsi:type="dcterms:W3CDTF">2015-02-12T08:44:04Z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32800.0000000000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